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F:\Forms - PHDD\Multifamily App &amp; Exhibit A\"/>
    </mc:Choice>
  </mc:AlternateContent>
  <xr:revisionPtr revIDLastSave="0" documentId="13_ncr:1_{14AC5BB3-8708-4FD5-850B-8955EF253E71}" xr6:coauthVersionLast="47" xr6:coauthVersionMax="47" xr10:uidLastSave="{00000000-0000-0000-0000-000000000000}"/>
  <bookViews>
    <workbookView xWindow="-120" yWindow="-120" windowWidth="38640" windowHeight="21120" tabRatio="929" xr2:uid="{143E219D-DDCD-4C48-8E1C-A73CBC8129B3}"/>
  </bookViews>
  <sheets>
    <sheet name="Cover" sheetId="7" r:id="rId1"/>
    <sheet name="Project Summary" sheetId="1" r:id="rId2"/>
    <sheet name="Buildings Summary" sheetId="13" r:id="rId3"/>
    <sheet name="Tax Credit Calc" sheetId="12" r:id="rId4"/>
    <sheet name="Project SqFt" sheetId="2" r:id="rId5"/>
    <sheet name="Development Budget" sheetId="10" r:id="rId6"/>
    <sheet name="Funding Sources" sheetId="4" r:id="rId7"/>
    <sheet name="UA's &amp; PBV Standards" sheetId="3" r:id="rId8"/>
    <sheet name="Operating Budget" sheetId="5" r:id="rId9"/>
    <sheet name="30-yr Cash Flow Projection" sheetId="9" r:id="rId10"/>
    <sheet name="SLR &amp; HUD 2880" sheetId="11" r:id="rId11"/>
    <sheet name="LIHTC 10% Test" sheetId="14" r:id="rId12"/>
    <sheet name="Cost Allocations" sheetId="15" r:id="rId13"/>
    <sheet name="HTF Accomplishments" sheetId="16" r:id="rId14"/>
    <sheet name="HOME Accomplishments" sheetId="17" r:id="rId15"/>
    <sheet name="2024 Limits" sheetId="19" r:id="rId16"/>
    <sheet name="2025 Limits" sheetId="6" r:id="rId17"/>
    <sheet name="2026 Limits" sheetId="18" r:id="rId18"/>
  </sheets>
  <definedNames>
    <definedName name="HIF_">'Project Summary'!$AC$133:$AC$138</definedName>
    <definedName name="HIF_Rents">'Project Summary'!$AC$157:$AC$162</definedName>
    <definedName name="HOME_">'Project Summary'!$AB$133:$AB$137</definedName>
    <definedName name="HOME_HIF_">'Project Summary'!$AI$133:$AI$140</definedName>
    <definedName name="HOME_HIF_Rents">'Project Summary'!$AI$157:$AI$164</definedName>
    <definedName name="HOME_Rents">'Project Summary'!$AB$157:$AB$160</definedName>
    <definedName name="HTF_">'Project Summary'!$AA$133:$AA$136</definedName>
    <definedName name="HTF_HIF_">'Project Summary'!$AH$133:$AH$138</definedName>
    <definedName name="HTF_HIF_Rents">'Project Summary'!$AH$157:$AH$162</definedName>
    <definedName name="HTF_HOME_">'Project Summary'!$AG$133:$AG$138</definedName>
    <definedName name="HTF_HOME_HIF_">'Project Summary'!$AM$133:$AM$140</definedName>
    <definedName name="HTF_HOME_HIF_Rents">'Project Summary'!$AM$157:$AM$164</definedName>
    <definedName name="HTF_HOME_Rents">'Project Summary'!$AG$157:$AG$162</definedName>
    <definedName name="HTF_Rents">'Project Summary'!$AA$157:$AA$160</definedName>
    <definedName name="LIHTC_">'Project Summary'!$Z$133:$Z$142</definedName>
    <definedName name="LIHTC_HIF_">'Project Summary'!$AF$133:$AF$144</definedName>
    <definedName name="LIHTC_HIF_Rents">'Project Summary'!$AF$157:$AF$166</definedName>
    <definedName name="LIHTC_HOME_">'Project Summary'!$AE$133:$AE$147</definedName>
    <definedName name="LIHTC_HOME_HIF_">'Project Summary'!$AL$133:$AL$148</definedName>
    <definedName name="LIHTC_HOME_HIF_Rents">'Project Summary'!$AL$157:$AL$168</definedName>
    <definedName name="LIHTC_HOME_Rents">'Project Summary'!$AE$157:$AE$168</definedName>
    <definedName name="LIHTC_HTF_">'Project Summary'!$AD$133:$AD$142</definedName>
    <definedName name="LIHTC_HTF_HIF_">'Project Summary'!$AK$133:$AK$144</definedName>
    <definedName name="LIHTC_HTF_HIF_Rents">'Project Summary'!$AK$157:$AK$166</definedName>
    <definedName name="LIHTC_HTF_HOME_">'Project Summary'!$AJ$133:$AJ$147</definedName>
    <definedName name="LIHTC_HTF_HOME_HIF_">'Project Summary'!$AN$133:$AN$149</definedName>
    <definedName name="LIHTC_HTF_HOME_HIF_Rents">'Project Summary'!$AN$157:$AN$168</definedName>
    <definedName name="LIHTC_HTF_HOME_Rents">'Project Summary'!$AJ$157:$AJ$168</definedName>
    <definedName name="LIHTC_HTF_Rents">'Project Summary'!$AD$157:$AD$166</definedName>
    <definedName name="LIHTC_Rents">'Project Summary'!$Z$157:$Z$166</definedName>
    <definedName name="_xlnm.Print_Area" localSheetId="9">'30-yr Cash Flow Projection'!$A$1:$L$106</definedName>
    <definedName name="_xlnm.Print_Area" localSheetId="2">'Buildings Summary'!$A$1:$K$296</definedName>
    <definedName name="_xlnm.Print_Area" localSheetId="12">'Cost Allocations'!$A$1:$K$272,'Cost Allocations'!$S$1:$AC$272</definedName>
    <definedName name="_xlnm.Print_Area" localSheetId="0">Cover!$A$1:$J$37</definedName>
    <definedName name="_xlnm.Print_Area" localSheetId="5">'Development Budget'!$A$1:$L$139</definedName>
    <definedName name="_xlnm.Print_Area" localSheetId="6">'Funding Sources'!$A$1:$J$53</definedName>
    <definedName name="_xlnm.Print_Area" localSheetId="14">'HOME Accomplishments'!$A$1:$M$22,'HOME Accomplishments'!$A$23:$T$65</definedName>
    <definedName name="_xlnm.Print_Area" localSheetId="13">'HTF Accomplishments'!$A$1:$M$34,'HTF Accomplishments'!$A$35:$S$77</definedName>
    <definedName name="_xlnm.Print_Area" localSheetId="11">'LIHTC 10% Test'!$A$1:$I$124</definedName>
    <definedName name="_xlnm.Print_Area" localSheetId="8">'Operating Budget'!$A$2:$H$57,'Operating Budget'!$A$59:$H$113</definedName>
    <definedName name="_xlnm.Print_Area" localSheetId="4">'Project SqFt'!$A$1:$U$88,'Project SqFt'!$A$90:$U$161</definedName>
    <definedName name="_xlnm.Print_Area" localSheetId="1">'Project Summary'!$A$1:$K$110</definedName>
    <definedName name="_xlnm.Print_Area" localSheetId="10">'SLR &amp; HUD 2880'!$A$1:$I$91,'SLR &amp; HUD 2880'!$K$1:$X$43</definedName>
    <definedName name="_xlnm.Print_Area" localSheetId="3">'Tax Credit Calc'!$A$1:$J$46</definedName>
    <definedName name="_xlnm.Print_Area" localSheetId="7">'UA''s &amp; PBV Standards'!$A$1:$H$22</definedName>
    <definedName name="_xlnm.Print_Titles" localSheetId="9">'30-yr Cash Flow Projection'!$1:$3</definedName>
    <definedName name="_xlnm.Print_Titles" localSheetId="2">'Buildings Summary'!$1:$2</definedName>
    <definedName name="_xlnm.Print_Titles" localSheetId="12">'Cost Allocations'!$1:$5</definedName>
    <definedName name="_xlnm.Print_Titles" localSheetId="5">'Development Budget'!$1:$6</definedName>
    <definedName name="_xlnm.Print_Titles" localSheetId="14">'HOME Accomplishments'!$1:$4</definedName>
    <definedName name="_xlnm.Print_Titles" localSheetId="13">'HTF Accomplishments'!$1:$4</definedName>
    <definedName name="_xlnm.Print_Titles" localSheetId="11">'LIHTC 10% Test'!$1:$6</definedName>
    <definedName name="_xlnm.Print_Titles" localSheetId="8">'Operating Budget'!$1:$3</definedName>
    <definedName name="_xlnm.Print_Titles" localSheetId="4">'Project SqFt'!$1:$3</definedName>
    <definedName name="_xlnm.Print_Titles" localSheetId="1">'Project Summary'!$1:$15</definedName>
    <definedName name="_xlnm.Print_Titles" localSheetId="10">'SLR &amp; HUD 2880'!$1:$11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8" i="16" l="1" a="1"/>
  <c r="D38" i="16" s="1"/>
  <c r="C69" i="19"/>
  <c r="B69" i="19"/>
  <c r="C68" i="19"/>
  <c r="B68" i="19"/>
  <c r="C67" i="19"/>
  <c r="B67" i="19"/>
  <c r="C66" i="19"/>
  <c r="B66" i="19"/>
  <c r="C65" i="19"/>
  <c r="B65" i="19"/>
  <c r="AA119" i="17"/>
  <c r="Z119" i="17"/>
  <c r="Y119" i="17"/>
  <c r="X119" i="17"/>
  <c r="W119" i="17"/>
  <c r="AA118" i="17"/>
  <c r="Z118" i="17"/>
  <c r="Y118" i="17"/>
  <c r="X118" i="17"/>
  <c r="W118" i="17"/>
  <c r="Z113" i="17"/>
  <c r="X127" i="16"/>
  <c r="AB124" i="16" a="1"/>
  <c r="AA124" i="16" a="1"/>
  <c r="Z124" i="16" a="1"/>
  <c r="Y124" i="16" a="1"/>
  <c r="X124" i="16" a="1"/>
  <c r="W124" i="16" a="1"/>
  <c r="V124" i="16" a="1"/>
  <c r="U124" i="16" a="1"/>
  <c r="AB124" i="16" l="1"/>
  <c r="AA124" i="16"/>
  <c r="Z124" i="16"/>
  <c r="Y124" i="16"/>
  <c r="X124" i="16"/>
  <c r="W124" i="16"/>
  <c r="V124" i="16"/>
  <c r="U124" i="16"/>
  <c r="B91" i="18"/>
  <c r="B90" i="18"/>
  <c r="B89" i="18"/>
  <c r="B88" i="18"/>
  <c r="B87" i="18"/>
  <c r="Z115" i="17"/>
  <c r="C67" i="9" l="1"/>
  <c r="D67" i="9" s="1"/>
  <c r="E67" i="9" s="1"/>
  <c r="F67" i="9" s="1"/>
  <c r="G67" i="9" s="1"/>
  <c r="H67" i="9" s="1"/>
  <c r="I67" i="9" s="1"/>
  <c r="J67" i="9" s="1"/>
  <c r="K67" i="9" s="1"/>
  <c r="L67" i="9" s="1"/>
  <c r="D31" i="9"/>
  <c r="E31" i="9" s="1"/>
  <c r="F31" i="9" s="1"/>
  <c r="G31" i="9" s="1"/>
  <c r="H31" i="9" s="1"/>
  <c r="I31" i="9" s="1"/>
  <c r="J31" i="9" s="1"/>
  <c r="K31" i="9" s="1"/>
  <c r="L31" i="9" s="1"/>
  <c r="C66" i="9" s="1"/>
  <c r="D66" i="9" s="1"/>
  <c r="E66" i="9" s="1"/>
  <c r="D32" i="9"/>
  <c r="E32" i="9" s="1"/>
  <c r="F32" i="9" s="1"/>
  <c r="G32" i="9" s="1"/>
  <c r="H32" i="9" s="1"/>
  <c r="I32" i="9" s="1"/>
  <c r="J32" i="9" s="1"/>
  <c r="K32" i="9" s="1"/>
  <c r="L32" i="9" s="1"/>
  <c r="C65" i="9"/>
  <c r="D65" i="9" s="1"/>
  <c r="E65" i="9" s="1"/>
  <c r="F65" i="9" s="1"/>
  <c r="G65" i="9" s="1"/>
  <c r="H65" i="9" s="1"/>
  <c r="I65" i="9" s="1"/>
  <c r="J65" i="9" s="1"/>
  <c r="K65" i="9" s="1"/>
  <c r="D29" i="9"/>
  <c r="E29" i="9"/>
  <c r="F29" i="9" s="1"/>
  <c r="G29" i="9" s="1"/>
  <c r="H29" i="9" s="1"/>
  <c r="I29" i="9" s="1"/>
  <c r="J29" i="9" s="1"/>
  <c r="K29" i="9" s="1"/>
  <c r="L29" i="9" s="1"/>
  <c r="C64" i="9" s="1"/>
  <c r="D64" i="9" s="1"/>
  <c r="E64" i="9" s="1"/>
  <c r="F64" i="9" s="1"/>
  <c r="G64" i="9" s="1"/>
  <c r="H64" i="9" s="1"/>
  <c r="I64" i="9" s="1"/>
  <c r="I63" i="9"/>
  <c r="Y24" i="2" l="1"/>
  <c r="Y88" i="2" a="1"/>
  <c r="Y88" i="2" s="1"/>
  <c r="AA88" i="2" a="1"/>
  <c r="AA88" i="2" s="1"/>
  <c r="Y89" i="2" a="1"/>
  <c r="Y89" i="2" s="1"/>
  <c r="AA89" i="2" a="1"/>
  <c r="AA89" i="2" s="1"/>
  <c r="Y90" i="2" a="1"/>
  <c r="Y90" i="2" s="1"/>
  <c r="AA90" i="2" a="1"/>
  <c r="AA90" i="2" s="1"/>
  <c r="Y91" i="2" a="1"/>
  <c r="Y91" i="2" s="1"/>
  <c r="AA91" i="2" a="1"/>
  <c r="AA91" i="2" s="1"/>
  <c r="Y92" i="2" a="1"/>
  <c r="Y92" i="2" s="1"/>
  <c r="AA92" i="2" a="1"/>
  <c r="AA92" i="2" s="1"/>
  <c r="Y93" i="2" a="1"/>
  <c r="Y93" i="2" s="1"/>
  <c r="AA93" i="2" a="1"/>
  <c r="AA93" i="2" s="1"/>
  <c r="Y94" i="2" a="1"/>
  <c r="Y94" i="2" s="1"/>
  <c r="AA94" i="2" a="1"/>
  <c r="AA94" i="2" s="1"/>
  <c r="Y95" i="2" a="1"/>
  <c r="Y95" i="2" s="1"/>
  <c r="AA95" i="2" a="1"/>
  <c r="AA95" i="2" s="1"/>
  <c r="Y96" i="2" a="1"/>
  <c r="Y96" i="2" s="1"/>
  <c r="AA96" i="2" a="1"/>
  <c r="AA96" i="2" s="1"/>
  <c r="Y97" i="2" a="1"/>
  <c r="Y97" i="2" s="1"/>
  <c r="AA97" i="2" a="1"/>
  <c r="AA97" i="2" s="1"/>
  <c r="Y98" i="2" a="1"/>
  <c r="Y98" i="2" s="1"/>
  <c r="AA98" i="2" a="1"/>
  <c r="AA98" i="2" s="1"/>
  <c r="Y99" i="2" a="1"/>
  <c r="Y99" i="2" s="1"/>
  <c r="AA99" i="2" a="1"/>
  <c r="AA99" i="2" s="1"/>
  <c r="Y100" i="2" a="1"/>
  <c r="Y100" i="2" s="1"/>
  <c r="AA100" i="2" a="1"/>
  <c r="AA100" i="2" s="1"/>
  <c r="Y101" i="2" a="1"/>
  <c r="Y101" i="2" s="1"/>
  <c r="AA101" i="2" a="1"/>
  <c r="AA101" i="2" s="1"/>
  <c r="Y102" i="2" a="1"/>
  <c r="Y102" i="2" s="1"/>
  <c r="AA102" i="2" a="1"/>
  <c r="AA102" i="2" s="1"/>
  <c r="Y103" i="2" a="1"/>
  <c r="Y103" i="2" s="1"/>
  <c r="AA103" i="2" a="1"/>
  <c r="AA103" i="2" s="1"/>
  <c r="Y104" i="2" a="1"/>
  <c r="Y104" i="2" s="1"/>
  <c r="AA104" i="2" a="1"/>
  <c r="AA104" i="2" s="1"/>
  <c r="Y105" i="2" a="1"/>
  <c r="Y105" i="2" s="1"/>
  <c r="AA105" i="2" a="1"/>
  <c r="AA105" i="2" s="1"/>
  <c r="Y106" i="2" a="1"/>
  <c r="Y106" i="2" s="1"/>
  <c r="AA106" i="2" a="1"/>
  <c r="AA106" i="2" s="1"/>
  <c r="Y107" i="2" a="1"/>
  <c r="Y107" i="2" s="1"/>
  <c r="AA107" i="2" a="1"/>
  <c r="AA107" i="2" s="1"/>
  <c r="Y108" i="2" a="1"/>
  <c r="Y108" i="2" s="1"/>
  <c r="AA108" i="2" a="1"/>
  <c r="AA108" i="2" s="1"/>
  <c r="Y109" i="2" a="1"/>
  <c r="Y109" i="2" s="1"/>
  <c r="AA109" i="2" a="1"/>
  <c r="AA109" i="2" s="1"/>
  <c r="Y110" i="2" a="1"/>
  <c r="Y110" i="2" s="1"/>
  <c r="AA110" i="2" a="1"/>
  <c r="AA110" i="2" s="1"/>
  <c r="Y111" i="2" a="1"/>
  <c r="Y111" i="2" s="1"/>
  <c r="AA111" i="2" a="1"/>
  <c r="AA111" i="2" s="1"/>
  <c r="Y112" i="2" a="1"/>
  <c r="Y112" i="2" s="1"/>
  <c r="AA112" i="2" a="1"/>
  <c r="AA112" i="2" s="1"/>
  <c r="Y113" i="2" a="1"/>
  <c r="Y113" i="2" s="1"/>
  <c r="AA113" i="2" a="1"/>
  <c r="AA113" i="2" s="1"/>
  <c r="Y114" i="2" a="1"/>
  <c r="Y114" i="2" s="1"/>
  <c r="AA114" i="2" a="1"/>
  <c r="AA114" i="2" s="1"/>
  <c r="Y115" i="2" a="1"/>
  <c r="Y115" i="2" s="1"/>
  <c r="AA115" i="2" a="1"/>
  <c r="AA115" i="2" s="1"/>
  <c r="Y116" i="2" a="1"/>
  <c r="Y116" i="2" s="1"/>
  <c r="AA116" i="2" a="1"/>
  <c r="AA116" i="2" s="1"/>
  <c r="Y117" i="2" a="1"/>
  <c r="Y117" i="2" s="1"/>
  <c r="AA117" i="2" a="1"/>
  <c r="AA117" i="2" s="1"/>
  <c r="Y118" i="2" a="1"/>
  <c r="Y118" i="2" s="1"/>
  <c r="AA118" i="2" a="1"/>
  <c r="AA118" i="2" s="1"/>
  <c r="Y119" i="2" a="1"/>
  <c r="Y119" i="2" s="1"/>
  <c r="AA119" i="2" a="1"/>
  <c r="AA119" i="2" s="1"/>
  <c r="Y120" i="2" a="1"/>
  <c r="Y120" i="2" s="1"/>
  <c r="AA120" i="2" a="1"/>
  <c r="AA120" i="2" s="1"/>
  <c r="Y121" i="2" a="1"/>
  <c r="Y121" i="2" s="1"/>
  <c r="AA121" i="2" a="1"/>
  <c r="AA121" i="2" s="1"/>
  <c r="Y122" i="2" a="1"/>
  <c r="Y122" i="2" s="1"/>
  <c r="AA122" i="2" a="1"/>
  <c r="AA122" i="2" s="1"/>
  <c r="Y123" i="2" a="1"/>
  <c r="Y123" i="2" s="1"/>
  <c r="AA123" i="2" a="1"/>
  <c r="AA123" i="2" s="1"/>
  <c r="Y124" i="2" a="1"/>
  <c r="Y124" i="2" s="1"/>
  <c r="AA124" i="2" a="1"/>
  <c r="AA124" i="2" s="1"/>
  <c r="Y125" i="2" a="1"/>
  <c r="Y125" i="2" s="1"/>
  <c r="AA125" i="2" a="1"/>
  <c r="AA125" i="2" s="1"/>
  <c r="Y126" i="2" a="1"/>
  <c r="Y126" i="2" s="1"/>
  <c r="AA126" i="2" a="1"/>
  <c r="AA126" i="2" s="1"/>
  <c r="Y127" i="2" a="1"/>
  <c r="Y127" i="2" s="1"/>
  <c r="AA127" i="2" a="1"/>
  <c r="AA127" i="2" s="1"/>
  <c r="Y128" i="2" a="1"/>
  <c r="Y128" i="2" s="1"/>
  <c r="AA128" i="2" a="1"/>
  <c r="AA128" i="2" s="1"/>
  <c r="Y129" i="2" a="1"/>
  <c r="Y129" i="2" s="1"/>
  <c r="AA129" i="2" a="1"/>
  <c r="AA129" i="2" s="1"/>
  <c r="Y130" i="2" a="1"/>
  <c r="Y130" i="2" s="1"/>
  <c r="AA130" i="2" a="1"/>
  <c r="AA130" i="2" s="1"/>
  <c r="Y131" i="2" a="1"/>
  <c r="Y131" i="2" s="1"/>
  <c r="AA131" i="2" a="1"/>
  <c r="AA131" i="2" s="1"/>
  <c r="Y132" i="2" a="1"/>
  <c r="Y132" i="2" s="1"/>
  <c r="AA132" i="2" a="1"/>
  <c r="AA132" i="2" s="1"/>
  <c r="Y133" i="2" a="1"/>
  <c r="Y133" i="2" s="1"/>
  <c r="AA133" i="2" a="1"/>
  <c r="AA133" i="2" s="1"/>
  <c r="Y134" i="2" a="1"/>
  <c r="Y134" i="2" s="1"/>
  <c r="AA134" i="2" a="1"/>
  <c r="AA134" i="2" s="1"/>
  <c r="Y135" i="2" a="1"/>
  <c r="Y135" i="2" s="1"/>
  <c r="AA135" i="2" a="1"/>
  <c r="AA135" i="2" s="1"/>
  <c r="Y136" i="2" a="1"/>
  <c r="Y136" i="2" s="1"/>
  <c r="AA136" i="2" a="1"/>
  <c r="AA136" i="2" s="1"/>
  <c r="Y137" i="2" a="1"/>
  <c r="Y137" i="2" s="1"/>
  <c r="AA137" i="2" a="1"/>
  <c r="AA137" i="2" s="1"/>
  <c r="Y138" i="2" a="1"/>
  <c r="Y138" i="2" s="1"/>
  <c r="AA138" i="2" a="1"/>
  <c r="AA138" i="2" s="1"/>
  <c r="Y139" i="2" a="1"/>
  <c r="Y139" i="2" s="1"/>
  <c r="AA139" i="2" a="1"/>
  <c r="AA139" i="2" s="1"/>
  <c r="Y140" i="2" a="1"/>
  <c r="Y140" i="2" s="1"/>
  <c r="AA140" i="2" a="1"/>
  <c r="AA140" i="2" s="1"/>
  <c r="Y141" i="2" a="1"/>
  <c r="Y141" i="2" s="1"/>
  <c r="AA141" i="2" a="1"/>
  <c r="AA141" i="2" s="1"/>
  <c r="Y142" i="2" a="1"/>
  <c r="Y142" i="2" s="1"/>
  <c r="AA142" i="2" a="1"/>
  <c r="AA142" i="2" s="1"/>
  <c r="Y143" i="2" a="1"/>
  <c r="Y143" i="2" s="1"/>
  <c r="AA143" i="2" a="1"/>
  <c r="AA143" i="2" s="1"/>
  <c r="Y144" i="2" a="1"/>
  <c r="Y144" i="2" s="1"/>
  <c r="AA144" i="2" a="1"/>
  <c r="AA144" i="2" s="1"/>
  <c r="Y145" i="2" a="1"/>
  <c r="Y145" i="2" s="1"/>
  <c r="AA145" i="2" a="1"/>
  <c r="AA145" i="2" s="1"/>
  <c r="Y146" i="2" a="1"/>
  <c r="Y146" i="2" s="1"/>
  <c r="AA146" i="2" a="1"/>
  <c r="AA146" i="2" s="1"/>
  <c r="Y147" i="2" a="1"/>
  <c r="Y147" i="2" s="1"/>
  <c r="AA147" i="2" a="1"/>
  <c r="AA147" i="2" s="1"/>
  <c r="Y148" i="2" a="1"/>
  <c r="Y148" i="2" s="1"/>
  <c r="AA148" i="2" a="1"/>
  <c r="AA148" i="2" s="1"/>
  <c r="Y149" i="2" a="1"/>
  <c r="Y149" i="2" s="1"/>
  <c r="AA149" i="2" a="1"/>
  <c r="AA149" i="2" s="1"/>
  <c r="Y150" i="2" a="1"/>
  <c r="Y150" i="2" s="1"/>
  <c r="AA150" i="2" a="1"/>
  <c r="AA150" i="2" s="1"/>
  <c r="Y151" i="2" a="1"/>
  <c r="Y151" i="2" s="1"/>
  <c r="AA151" i="2" a="1"/>
  <c r="AA151" i="2" s="1"/>
  <c r="Y152" i="2" a="1"/>
  <c r="Y152" i="2" s="1"/>
  <c r="AA152" i="2" a="1"/>
  <c r="AA152" i="2" s="1"/>
  <c r="Y153" i="2" a="1"/>
  <c r="Y153" i="2" s="1"/>
  <c r="AA153" i="2" a="1"/>
  <c r="AA153" i="2" s="1"/>
  <c r="Y154" i="2" a="1"/>
  <c r="Y154" i="2" s="1"/>
  <c r="AA154" i="2" a="1"/>
  <c r="AA154" i="2" s="1"/>
  <c r="Y155" i="2" a="1"/>
  <c r="Y155" i="2" s="1"/>
  <c r="AA155" i="2" a="1"/>
  <c r="AA155" i="2" s="1"/>
  <c r="Y156" i="2" a="1"/>
  <c r="Y156" i="2" s="1"/>
  <c r="AA156" i="2" a="1"/>
  <c r="AA156" i="2" s="1"/>
  <c r="Y157" i="2" a="1"/>
  <c r="Y157" i="2" s="1"/>
  <c r="AA157" i="2" a="1"/>
  <c r="AA157" i="2" s="1"/>
  <c r="Y158" i="2" a="1"/>
  <c r="Y158" i="2" s="1"/>
  <c r="AA158" i="2" a="1"/>
  <c r="AA158" i="2" s="1"/>
  <c r="Y159" i="2" a="1"/>
  <c r="Y159" i="2" s="1"/>
  <c r="AA159" i="2" a="1"/>
  <c r="AA159" i="2" s="1"/>
  <c r="Y160" i="2" a="1"/>
  <c r="Y160" i="2" s="1"/>
  <c r="AA160" i="2" a="1"/>
  <c r="AA160" i="2" s="1"/>
  <c r="AA42" i="2" a="1"/>
  <c r="AA42" i="2" s="1"/>
  <c r="AA43" i="2" a="1"/>
  <c r="AA43" i="2" s="1"/>
  <c r="AA44" i="2" a="1"/>
  <c r="AA44" i="2" s="1"/>
  <c r="AA45" i="2" a="1"/>
  <c r="AA45" i="2" s="1"/>
  <c r="AA46" i="2" a="1"/>
  <c r="AA46" i="2" s="1"/>
  <c r="AA47" i="2" a="1"/>
  <c r="AA47" i="2" s="1"/>
  <c r="AA48" i="2" a="1"/>
  <c r="AA48" i="2" s="1"/>
  <c r="AA49" i="2" a="1"/>
  <c r="AA49" i="2" s="1"/>
  <c r="AA50" i="2" a="1"/>
  <c r="AA50" i="2" s="1"/>
  <c r="AA51" i="2" a="1"/>
  <c r="AA51" i="2" s="1"/>
  <c r="AA52" i="2" a="1"/>
  <c r="AA52" i="2" s="1"/>
  <c r="AA53" i="2" a="1"/>
  <c r="AA53" i="2" s="1"/>
  <c r="AA54" i="2" a="1"/>
  <c r="AA54" i="2" s="1"/>
  <c r="AA55" i="2" a="1"/>
  <c r="AA55" i="2" s="1"/>
  <c r="AA56" i="2" a="1"/>
  <c r="AA56" i="2" s="1"/>
  <c r="AA57" i="2" a="1"/>
  <c r="AA57" i="2" s="1"/>
  <c r="AA58" i="2" a="1"/>
  <c r="AA58" i="2" s="1"/>
  <c r="AA59" i="2" a="1"/>
  <c r="AA59" i="2" s="1"/>
  <c r="AA60" i="2" a="1"/>
  <c r="AA60" i="2" s="1"/>
  <c r="AA61" i="2" a="1"/>
  <c r="AA61" i="2" s="1"/>
  <c r="AA62" i="2" a="1"/>
  <c r="AA62" i="2" s="1"/>
  <c r="AA63" i="2" a="1"/>
  <c r="AA63" i="2" s="1"/>
  <c r="AA64" i="2" a="1"/>
  <c r="AA64" i="2" s="1"/>
  <c r="AA65" i="2" a="1"/>
  <c r="AA65" i="2" s="1"/>
  <c r="AA66" i="2" a="1"/>
  <c r="AA66" i="2" s="1"/>
  <c r="AA67" i="2" a="1"/>
  <c r="AA67" i="2" s="1"/>
  <c r="AA68" i="2" a="1"/>
  <c r="AA68" i="2" s="1"/>
  <c r="AA69" i="2" a="1"/>
  <c r="AA69" i="2" s="1"/>
  <c r="AA70" i="2" a="1"/>
  <c r="AA70" i="2" s="1"/>
  <c r="AA71" i="2" a="1"/>
  <c r="AA71" i="2" s="1"/>
  <c r="AA72" i="2" a="1"/>
  <c r="AA72" i="2" s="1"/>
  <c r="AA73" i="2" a="1"/>
  <c r="AA73" i="2" s="1"/>
  <c r="AA74" i="2" a="1"/>
  <c r="AA74" i="2" s="1"/>
  <c r="AA75" i="2" a="1"/>
  <c r="AA75" i="2" s="1"/>
  <c r="AA76" i="2" a="1"/>
  <c r="AA76" i="2" s="1"/>
  <c r="AA77" i="2" a="1"/>
  <c r="AA77" i="2" s="1"/>
  <c r="AA78" i="2" a="1"/>
  <c r="AA78" i="2" s="1"/>
  <c r="AA79" i="2" a="1"/>
  <c r="AA79" i="2" s="1"/>
  <c r="AA80" i="2" a="1"/>
  <c r="AA80" i="2" s="1"/>
  <c r="AA81" i="2" a="1"/>
  <c r="AA81" i="2" s="1"/>
  <c r="AA82" i="2" a="1"/>
  <c r="AA82" i="2" s="1"/>
  <c r="AA83" i="2" a="1"/>
  <c r="AA83" i="2" s="1"/>
  <c r="AA84" i="2" a="1"/>
  <c r="AA84" i="2" s="1"/>
  <c r="AA85" i="2" a="1"/>
  <c r="AA85" i="2" s="1"/>
  <c r="AA86" i="2" a="1"/>
  <c r="AA86" i="2" s="1"/>
  <c r="AA87" i="2" a="1"/>
  <c r="AA87" i="2" s="1"/>
  <c r="Y42" i="2" a="1"/>
  <c r="Y42" i="2" s="1"/>
  <c r="Y43" i="2" a="1"/>
  <c r="Y43" i="2" s="1"/>
  <c r="Y44" i="2" a="1"/>
  <c r="Y44" i="2" s="1"/>
  <c r="Y45" i="2" a="1"/>
  <c r="Y45" i="2" s="1"/>
  <c r="Y46" i="2" a="1"/>
  <c r="Y46" i="2" s="1"/>
  <c r="Y47" i="2" a="1"/>
  <c r="Y47" i="2" s="1"/>
  <c r="Y48" i="2" a="1"/>
  <c r="Y48" i="2" s="1"/>
  <c r="Y49" i="2" a="1"/>
  <c r="Y49" i="2" s="1"/>
  <c r="Y50" i="2" a="1"/>
  <c r="Y50" i="2" s="1"/>
  <c r="Y51" i="2" a="1"/>
  <c r="Y51" i="2" s="1"/>
  <c r="Y52" i="2" a="1"/>
  <c r="Y52" i="2" s="1"/>
  <c r="Y53" i="2" a="1"/>
  <c r="Y53" i="2" s="1"/>
  <c r="Y54" i="2" a="1"/>
  <c r="Y54" i="2" s="1"/>
  <c r="Y55" i="2" a="1"/>
  <c r="Y55" i="2" s="1"/>
  <c r="Y56" i="2" a="1"/>
  <c r="Y56" i="2" s="1"/>
  <c r="Y57" i="2" a="1"/>
  <c r="Y57" i="2" s="1"/>
  <c r="Y58" i="2" a="1"/>
  <c r="Y58" i="2" s="1"/>
  <c r="Y59" i="2" a="1"/>
  <c r="Y59" i="2" s="1"/>
  <c r="Y60" i="2" a="1"/>
  <c r="Y60" i="2" s="1"/>
  <c r="Y61" i="2" a="1"/>
  <c r="Y61" i="2" s="1"/>
  <c r="Y62" i="2" a="1"/>
  <c r="Y62" i="2" s="1"/>
  <c r="Y63" i="2" a="1"/>
  <c r="Y63" i="2" s="1"/>
  <c r="Y64" i="2" a="1"/>
  <c r="Y64" i="2" s="1"/>
  <c r="Y65" i="2" a="1"/>
  <c r="Y65" i="2" s="1"/>
  <c r="Y66" i="2" a="1"/>
  <c r="Y66" i="2" s="1"/>
  <c r="Y67" i="2" a="1"/>
  <c r="Y67" i="2" s="1"/>
  <c r="Y68" i="2" a="1"/>
  <c r="Y68" i="2" s="1"/>
  <c r="Y69" i="2" a="1"/>
  <c r="Y69" i="2" s="1"/>
  <c r="Y70" i="2" a="1"/>
  <c r="Y70" i="2" s="1"/>
  <c r="Y71" i="2" a="1"/>
  <c r="Y71" i="2" s="1"/>
  <c r="Y72" i="2" a="1"/>
  <c r="Y72" i="2" s="1"/>
  <c r="Y73" i="2" a="1"/>
  <c r="Y73" i="2" s="1"/>
  <c r="Y74" i="2" a="1"/>
  <c r="Y74" i="2" s="1"/>
  <c r="Y75" i="2" a="1"/>
  <c r="Y75" i="2" s="1"/>
  <c r="Y76" i="2" a="1"/>
  <c r="Y76" i="2" s="1"/>
  <c r="Y77" i="2" a="1"/>
  <c r="Y77" i="2" s="1"/>
  <c r="Y78" i="2" a="1"/>
  <c r="Y78" i="2" s="1"/>
  <c r="Y79" i="2" a="1"/>
  <c r="Y79" i="2" s="1"/>
  <c r="Y80" i="2" a="1"/>
  <c r="Y80" i="2" s="1"/>
  <c r="Y81" i="2" a="1"/>
  <c r="Y81" i="2" s="1"/>
  <c r="Y82" i="2" a="1"/>
  <c r="Y82" i="2" s="1"/>
  <c r="Y83" i="2" a="1"/>
  <c r="Y83" i="2" s="1"/>
  <c r="Y84" i="2" a="1"/>
  <c r="Y84" i="2" s="1"/>
  <c r="Y85" i="2" a="1"/>
  <c r="Y85" i="2" s="1"/>
  <c r="Y86" i="2" a="1"/>
  <c r="Y86" i="2" s="1"/>
  <c r="Y87" i="2" a="1"/>
  <c r="Y87" i="2" s="1"/>
  <c r="AA41" i="2" a="1"/>
  <c r="AA41" i="2" s="1"/>
  <c r="Y41" i="2" a="1"/>
  <c r="Y41" i="2" s="1"/>
  <c r="K100" i="1"/>
  <c r="K99" i="1"/>
  <c r="K98" i="1"/>
  <c r="K97" i="1"/>
  <c r="K96" i="1"/>
  <c r="K95" i="1"/>
  <c r="J100" i="1"/>
  <c r="J99" i="1"/>
  <c r="J98" i="1"/>
  <c r="J97" i="1"/>
  <c r="J96" i="1"/>
  <c r="J95" i="1"/>
  <c r="K76" i="1"/>
  <c r="K75" i="1"/>
  <c r="K74" i="1"/>
  <c r="K73" i="1"/>
  <c r="K72" i="1"/>
  <c r="J76" i="1"/>
  <c r="J75" i="1"/>
  <c r="J74" i="1"/>
  <c r="J73" i="1"/>
  <c r="J72" i="1"/>
  <c r="K53" i="1"/>
  <c r="K52" i="1"/>
  <c r="K51" i="1"/>
  <c r="K50" i="1"/>
  <c r="J53" i="1"/>
  <c r="J52" i="1"/>
  <c r="J51" i="1"/>
  <c r="J50" i="1"/>
  <c r="K31" i="1"/>
  <c r="K30" i="1"/>
  <c r="K29" i="1"/>
  <c r="K28" i="1"/>
  <c r="K27" i="1"/>
  <c r="K26" i="1"/>
  <c r="K25" i="1"/>
  <c r="K24" i="1"/>
  <c r="K23" i="1"/>
  <c r="K22" i="1"/>
  <c r="J31" i="1"/>
  <c r="J30" i="1"/>
  <c r="J29" i="1"/>
  <c r="J28" i="1"/>
  <c r="J27" i="1"/>
  <c r="J26" i="1"/>
  <c r="J25" i="1"/>
  <c r="J24" i="1"/>
  <c r="J23" i="1"/>
  <c r="J22" i="1"/>
  <c r="Y30" i="2"/>
  <c r="Y33" i="2"/>
  <c r="Y32" i="2"/>
  <c r="Y31" i="2"/>
  <c r="Y29" i="2"/>
  <c r="X33" i="2"/>
  <c r="X32" i="2"/>
  <c r="X31" i="2"/>
  <c r="X30" i="2"/>
  <c r="X29" i="2"/>
  <c r="Z25" i="2"/>
  <c r="Y25" i="2"/>
  <c r="Z24" i="2"/>
  <c r="Z23" i="2"/>
  <c r="Y23" i="2"/>
  <c r="Z21" i="2"/>
  <c r="Y21" i="2"/>
  <c r="Z19" i="2"/>
  <c r="U161" i="2"/>
  <c r="T161" i="2" a="1"/>
  <c r="T161" i="2" s="1"/>
  <c r="R161" i="2"/>
  <c r="Q161" i="2"/>
  <c r="M161" i="2"/>
  <c r="L161" i="2" a="1"/>
  <c r="L161" i="2" s="1"/>
  <c r="K161" i="2"/>
  <c r="J161" i="2"/>
  <c r="I161" i="2"/>
  <c r="F161" i="2"/>
  <c r="D161" i="2" a="1"/>
  <c r="D161" i="2" s="1"/>
  <c r="C161" i="2"/>
  <c r="B161" i="2"/>
  <c r="O107" i="10"/>
  <c r="O111" i="10" s="1"/>
  <c r="C69" i="18"/>
  <c r="C91" i="18" s="1"/>
  <c r="B69" i="18"/>
  <c r="C68" i="18"/>
  <c r="C90" i="18" s="1"/>
  <c r="B68" i="18"/>
  <c r="C67" i="18"/>
  <c r="C89" i="18" s="1"/>
  <c r="B67" i="18"/>
  <c r="C66" i="18"/>
  <c r="C88" i="18" s="1"/>
  <c r="B66" i="18"/>
  <c r="C65" i="18"/>
  <c r="C87" i="18" s="1"/>
  <c r="B65" i="18"/>
  <c r="L44" i="5" a="1"/>
  <c r="N44" i="5" a="1"/>
  <c r="M44" i="5" a="1"/>
  <c r="O44" i="5" a="1"/>
  <c r="M50" i="5" a="1"/>
  <c r="O51" i="5" a="1"/>
  <c r="L50" i="5" a="1"/>
  <c r="L51" i="5" a="1"/>
  <c r="N50" i="5" a="1"/>
  <c r="O50" i="5" a="1"/>
  <c r="M51" i="5" a="1"/>
  <c r="N51" i="5" a="1"/>
  <c r="Y38" i="2" l="1" a="1"/>
  <c r="Y38" i="2" s="1"/>
  <c r="Y39" i="2"/>
  <c r="O51" i="5"/>
  <c r="N51" i="5"/>
  <c r="M51" i="5"/>
  <c r="L51" i="5"/>
  <c r="O50" i="5"/>
  <c r="N50" i="5"/>
  <c r="M50" i="5"/>
  <c r="L50" i="5"/>
  <c r="O44" i="5"/>
  <c r="N44" i="5"/>
  <c r="M44" i="5"/>
  <c r="L44" i="5"/>
  <c r="AH154" i="1"/>
  <c r="AH130" i="1"/>
  <c r="I54" i="14"/>
  <c r="L54" i="10"/>
  <c r="F54" i="10"/>
  <c r="U45" i="15" l="1"/>
  <c r="M146" i="1"/>
  <c r="C35" i="12"/>
  <c r="I8" i="14"/>
  <c r="E91" i="11"/>
  <c r="A88" i="11"/>
  <c r="A87" i="11"/>
  <c r="A69" i="9"/>
  <c r="A104" i="9"/>
  <c r="E85" i="11"/>
  <c r="E83" i="11"/>
  <c r="Z22" i="2"/>
  <c r="Y5" i="2"/>
  <c r="G8" i="13" l="1"/>
  <c r="O9" i="5" l="1"/>
  <c r="N9" i="5"/>
  <c r="M9" i="5"/>
  <c r="L9" i="5"/>
  <c r="AC256" i="15"/>
  <c r="AC206" i="15"/>
  <c r="AC155" i="15"/>
  <c r="AC107" i="15"/>
  <c r="AB66" i="15" a="1"/>
  <c r="AB66" i="15" s="1"/>
  <c r="AA66" i="15" a="1"/>
  <c r="AA66" i="15" s="1"/>
  <c r="U66" i="15" a="1"/>
  <c r="U66" i="15" s="1"/>
  <c r="T35" i="15"/>
  <c r="Z168" i="15"/>
  <c r="V35" i="15"/>
  <c r="W35" i="15"/>
  <c r="X35" i="15"/>
  <c r="K256" i="15"/>
  <c r="K206" i="15"/>
  <c r="K155" i="15"/>
  <c r="K107" i="15"/>
  <c r="F35" i="15"/>
  <c r="E35" i="15"/>
  <c r="D35" i="15"/>
  <c r="B35" i="15"/>
  <c r="C58" i="1"/>
  <c r="L10" i="16" s="1"/>
  <c r="D77" i="1"/>
  <c r="AC45" i="15"/>
  <c r="X59" i="15" s="1"/>
  <c r="X128" i="15"/>
  <c r="AA128" i="15" s="1"/>
  <c r="X227" i="15"/>
  <c r="AA227" i="15" s="1"/>
  <c r="W227" i="15"/>
  <c r="V227" i="15"/>
  <c r="U227" i="15"/>
  <c r="T227" i="15"/>
  <c r="X176" i="15"/>
  <c r="W176" i="15"/>
  <c r="V176" i="15"/>
  <c r="U176" i="15"/>
  <c r="W128" i="15"/>
  <c r="V128" i="15"/>
  <c r="U128" i="15"/>
  <c r="T128" i="15"/>
  <c r="Z120" i="15"/>
  <c r="AC9" i="15"/>
  <c r="Y253" i="15"/>
  <c r="X252" i="15"/>
  <c r="AA252" i="15" s="1"/>
  <c r="AC252" i="15" s="1"/>
  <c r="W252" i="15"/>
  <c r="V252" i="15"/>
  <c r="U252" i="15"/>
  <c r="T252" i="15"/>
  <c r="S252" i="15"/>
  <c r="X251" i="15"/>
  <c r="AA251" i="15" s="1"/>
  <c r="W251" i="15"/>
  <c r="V251" i="15"/>
  <c r="U251" i="15"/>
  <c r="T251" i="15"/>
  <c r="S251" i="15"/>
  <c r="X250" i="15"/>
  <c r="AA250" i="15" s="1"/>
  <c r="AC250" i="15" s="1"/>
  <c r="W250" i="15"/>
  <c r="V250" i="15"/>
  <c r="U250" i="15"/>
  <c r="T250" i="15"/>
  <c r="S250" i="15"/>
  <c r="X249" i="15"/>
  <c r="AA249" i="15" s="1"/>
  <c r="W249" i="15"/>
  <c r="V249" i="15"/>
  <c r="U249" i="15"/>
  <c r="T249" i="15"/>
  <c r="S249" i="15"/>
  <c r="X248" i="15"/>
  <c r="AA248" i="15" s="1"/>
  <c r="AC248" i="15" s="1"/>
  <c r="W248" i="15"/>
  <c r="V248" i="15"/>
  <c r="U248" i="15"/>
  <c r="T248" i="15"/>
  <c r="S248" i="15"/>
  <c r="X247" i="15"/>
  <c r="AA247" i="15" s="1"/>
  <c r="W247" i="15"/>
  <c r="V247" i="15"/>
  <c r="U247" i="15"/>
  <c r="T247" i="15"/>
  <c r="S247" i="15"/>
  <c r="X246" i="15"/>
  <c r="AA246" i="15" s="1"/>
  <c r="AC246" i="15" s="1"/>
  <c r="W246" i="15"/>
  <c r="V246" i="15"/>
  <c r="U246" i="15"/>
  <c r="T246" i="15"/>
  <c r="S246" i="15"/>
  <c r="X245" i="15"/>
  <c r="AA245" i="15" s="1"/>
  <c r="W245" i="15"/>
  <c r="V245" i="15"/>
  <c r="U245" i="15"/>
  <c r="T245" i="15"/>
  <c r="S245" i="15"/>
  <c r="X244" i="15"/>
  <c r="AA244" i="15" s="1"/>
  <c r="AC244" i="15" s="1"/>
  <c r="W244" i="15"/>
  <c r="V244" i="15"/>
  <c r="U244" i="15"/>
  <c r="T244" i="15"/>
  <c r="S244" i="15"/>
  <c r="X243" i="15"/>
  <c r="AA243" i="15" s="1"/>
  <c r="W243" i="15"/>
  <c r="V243" i="15"/>
  <c r="U243" i="15"/>
  <c r="T243" i="15"/>
  <c r="S243" i="15"/>
  <c r="X242" i="15"/>
  <c r="AA242" i="15" s="1"/>
  <c r="AC242" i="15" s="1"/>
  <c r="W242" i="15"/>
  <c r="V242" i="15"/>
  <c r="U242" i="15"/>
  <c r="T242" i="15"/>
  <c r="S242" i="15"/>
  <c r="X241" i="15"/>
  <c r="AA241" i="15" s="1"/>
  <c r="W241" i="15"/>
  <c r="V241" i="15"/>
  <c r="U241" i="15"/>
  <c r="T241" i="15"/>
  <c r="S241" i="15"/>
  <c r="X240" i="15"/>
  <c r="AA240" i="15" s="1"/>
  <c r="AC240" i="15" s="1"/>
  <c r="W240" i="15"/>
  <c r="V240" i="15"/>
  <c r="U240" i="15"/>
  <c r="T240" i="15"/>
  <c r="S240" i="15"/>
  <c r="X239" i="15"/>
  <c r="AA239" i="15" s="1"/>
  <c r="W239" i="15"/>
  <c r="V239" i="15"/>
  <c r="U239" i="15"/>
  <c r="T239" i="15"/>
  <c r="S239" i="15"/>
  <c r="X238" i="15"/>
  <c r="AA238" i="15" s="1"/>
  <c r="AC238" i="15" s="1"/>
  <c r="W238" i="15"/>
  <c r="V238" i="15"/>
  <c r="U238" i="15"/>
  <c r="T238" i="15"/>
  <c r="S238" i="15"/>
  <c r="X237" i="15"/>
  <c r="AA237" i="15" s="1"/>
  <c r="W237" i="15"/>
  <c r="V237" i="15"/>
  <c r="U237" i="15"/>
  <c r="T237" i="15"/>
  <c r="S237" i="15"/>
  <c r="X236" i="15"/>
  <c r="AA236" i="15" s="1"/>
  <c r="AC236" i="15" s="1"/>
  <c r="W236" i="15"/>
  <c r="V236" i="15"/>
  <c r="U236" i="15"/>
  <c r="T236" i="15"/>
  <c r="S236" i="15"/>
  <c r="X235" i="15"/>
  <c r="AA235" i="15" s="1"/>
  <c r="W235" i="15"/>
  <c r="V235" i="15"/>
  <c r="U235" i="15"/>
  <c r="T235" i="15"/>
  <c r="S235" i="15"/>
  <c r="X234" i="15"/>
  <c r="AA234" i="15" s="1"/>
  <c r="AC234" i="15" s="1"/>
  <c r="W234" i="15"/>
  <c r="V234" i="15"/>
  <c r="U234" i="15"/>
  <c r="T234" i="15"/>
  <c r="S234" i="15"/>
  <c r="X233" i="15"/>
  <c r="AA233" i="15" s="1"/>
  <c r="W233" i="15"/>
  <c r="V233" i="15"/>
  <c r="U233" i="15"/>
  <c r="T233" i="15"/>
  <c r="S233" i="15"/>
  <c r="X232" i="15"/>
  <c r="AA232" i="15" s="1"/>
  <c r="AC232" i="15" s="1"/>
  <c r="W232" i="15"/>
  <c r="V232" i="15"/>
  <c r="U232" i="15"/>
  <c r="T232" i="15"/>
  <c r="S232" i="15"/>
  <c r="X231" i="15"/>
  <c r="AA231" i="15" s="1"/>
  <c r="W231" i="15"/>
  <c r="V231" i="15"/>
  <c r="U231" i="15"/>
  <c r="T231" i="15"/>
  <c r="S231" i="15"/>
  <c r="X230" i="15"/>
  <c r="AA230" i="15" s="1"/>
  <c r="AC230" i="15" s="1"/>
  <c r="W230" i="15"/>
  <c r="V230" i="15"/>
  <c r="U230" i="15"/>
  <c r="T230" i="15"/>
  <c r="S230" i="15"/>
  <c r="X229" i="15"/>
  <c r="AA229" i="15" s="1"/>
  <c r="W229" i="15"/>
  <c r="V229" i="15"/>
  <c r="U229" i="15"/>
  <c r="T229" i="15"/>
  <c r="S229" i="15"/>
  <c r="X228" i="15"/>
  <c r="AA228" i="15" s="1"/>
  <c r="AC228" i="15" s="1"/>
  <c r="W228" i="15"/>
  <c r="V228" i="15"/>
  <c r="U228" i="15"/>
  <c r="T228" i="15"/>
  <c r="S228" i="15"/>
  <c r="S227" i="15"/>
  <c r="Y202" i="15"/>
  <c r="X201" i="15"/>
  <c r="W201" i="15"/>
  <c r="V201" i="15"/>
  <c r="U201" i="15"/>
  <c r="T201" i="15"/>
  <c r="AA201" i="15" s="1"/>
  <c r="S201" i="15"/>
  <c r="X200" i="15"/>
  <c r="W200" i="15"/>
  <c r="V200" i="15"/>
  <c r="U200" i="15"/>
  <c r="T200" i="15"/>
  <c r="AA200" i="15" s="1"/>
  <c r="S200" i="15"/>
  <c r="X199" i="15"/>
  <c r="W199" i="15"/>
  <c r="V199" i="15"/>
  <c r="U199" i="15"/>
  <c r="T199" i="15"/>
  <c r="AA199" i="15" s="1"/>
  <c r="S199" i="15"/>
  <c r="X198" i="15"/>
  <c r="W198" i="15"/>
  <c r="V198" i="15"/>
  <c r="U198" i="15"/>
  <c r="T198" i="15"/>
  <c r="AA198" i="15" s="1"/>
  <c r="S198" i="15"/>
  <c r="X197" i="15"/>
  <c r="W197" i="15"/>
  <c r="V197" i="15"/>
  <c r="U197" i="15"/>
  <c r="T197" i="15"/>
  <c r="AA197" i="15" s="1"/>
  <c r="S197" i="15"/>
  <c r="AA196" i="15"/>
  <c r="X196" i="15"/>
  <c r="W196" i="15"/>
  <c r="V196" i="15"/>
  <c r="U196" i="15"/>
  <c r="T196" i="15"/>
  <c r="S196" i="15"/>
  <c r="X195" i="15"/>
  <c r="W195" i="15"/>
  <c r="V195" i="15"/>
  <c r="U195" i="15"/>
  <c r="T195" i="15"/>
  <c r="AA195" i="15" s="1"/>
  <c r="S195" i="15"/>
  <c r="X194" i="15"/>
  <c r="W194" i="15"/>
  <c r="V194" i="15"/>
  <c r="U194" i="15"/>
  <c r="T194" i="15"/>
  <c r="AA194" i="15" s="1"/>
  <c r="S194" i="15"/>
  <c r="X193" i="15"/>
  <c r="W193" i="15"/>
  <c r="V193" i="15"/>
  <c r="U193" i="15"/>
  <c r="T193" i="15"/>
  <c r="AA193" i="15" s="1"/>
  <c r="S193" i="15"/>
  <c r="AA192" i="15"/>
  <c r="X192" i="15"/>
  <c r="W192" i="15"/>
  <c r="V192" i="15"/>
  <c r="U192" i="15"/>
  <c r="T192" i="15"/>
  <c r="S192" i="15"/>
  <c r="X191" i="15"/>
  <c r="W191" i="15"/>
  <c r="V191" i="15"/>
  <c r="U191" i="15"/>
  <c r="T191" i="15"/>
  <c r="AA191" i="15" s="1"/>
  <c r="S191" i="15"/>
  <c r="X190" i="15"/>
  <c r="W190" i="15"/>
  <c r="V190" i="15"/>
  <c r="U190" i="15"/>
  <c r="T190" i="15"/>
  <c r="AA190" i="15" s="1"/>
  <c r="S190" i="15"/>
  <c r="X189" i="15"/>
  <c r="W189" i="15"/>
  <c r="V189" i="15"/>
  <c r="U189" i="15"/>
  <c r="T189" i="15"/>
  <c r="AA189" i="15" s="1"/>
  <c r="S189" i="15"/>
  <c r="X188" i="15"/>
  <c r="W188" i="15"/>
  <c r="V188" i="15"/>
  <c r="U188" i="15"/>
  <c r="T188" i="15"/>
  <c r="AA188" i="15" s="1"/>
  <c r="S188" i="15"/>
  <c r="X187" i="15"/>
  <c r="W187" i="15"/>
  <c r="V187" i="15"/>
  <c r="U187" i="15"/>
  <c r="T187" i="15"/>
  <c r="AA187" i="15" s="1"/>
  <c r="S187" i="15"/>
  <c r="X186" i="15"/>
  <c r="W186" i="15"/>
  <c r="V186" i="15"/>
  <c r="U186" i="15"/>
  <c r="T186" i="15"/>
  <c r="AA186" i="15" s="1"/>
  <c r="S186" i="15"/>
  <c r="X185" i="15"/>
  <c r="W185" i="15"/>
  <c r="V185" i="15"/>
  <c r="U185" i="15"/>
  <c r="T185" i="15"/>
  <c r="AA185" i="15" s="1"/>
  <c r="S185" i="15"/>
  <c r="X184" i="15"/>
  <c r="W184" i="15"/>
  <c r="V184" i="15"/>
  <c r="U184" i="15"/>
  <c r="T184" i="15"/>
  <c r="AA184" i="15" s="1"/>
  <c r="S184" i="15"/>
  <c r="X183" i="15"/>
  <c r="W183" i="15"/>
  <c r="V183" i="15"/>
  <c r="U183" i="15"/>
  <c r="T183" i="15"/>
  <c r="AA183" i="15" s="1"/>
  <c r="S183" i="15"/>
  <c r="X182" i="15"/>
  <c r="W182" i="15"/>
  <c r="V182" i="15"/>
  <c r="U182" i="15"/>
  <c r="T182" i="15"/>
  <c r="AA182" i="15" s="1"/>
  <c r="S182" i="15"/>
  <c r="X181" i="15"/>
  <c r="W181" i="15"/>
  <c r="V181" i="15"/>
  <c r="U181" i="15"/>
  <c r="T181" i="15"/>
  <c r="AA181" i="15" s="1"/>
  <c r="S181" i="15"/>
  <c r="X180" i="15"/>
  <c r="W180" i="15"/>
  <c r="V180" i="15"/>
  <c r="U180" i="15"/>
  <c r="T180" i="15"/>
  <c r="AA180" i="15" s="1"/>
  <c r="S180" i="15"/>
  <c r="X179" i="15"/>
  <c r="W179" i="15"/>
  <c r="V179" i="15"/>
  <c r="U179" i="15"/>
  <c r="T179" i="15"/>
  <c r="AA179" i="15" s="1"/>
  <c r="S179" i="15"/>
  <c r="X178" i="15"/>
  <c r="W178" i="15"/>
  <c r="V178" i="15"/>
  <c r="U178" i="15"/>
  <c r="T178" i="15"/>
  <c r="AA178" i="15" s="1"/>
  <c r="S178" i="15"/>
  <c r="X177" i="15"/>
  <c r="W177" i="15"/>
  <c r="V177" i="15"/>
  <c r="U213" i="15" s="1"/>
  <c r="U177" i="15"/>
  <c r="T177" i="15"/>
  <c r="AA177" i="15" s="1"/>
  <c r="S177" i="15"/>
  <c r="AA176" i="15"/>
  <c r="T176" i="15"/>
  <c r="S176" i="15"/>
  <c r="X153" i="15"/>
  <c r="AA153" i="15" s="1"/>
  <c r="W153" i="15"/>
  <c r="V153" i="15"/>
  <c r="U153" i="15"/>
  <c r="T153" i="15"/>
  <c r="S153" i="15"/>
  <c r="X152" i="15"/>
  <c r="AA152" i="15" s="1"/>
  <c r="W152" i="15"/>
  <c r="V152" i="15"/>
  <c r="U152" i="15"/>
  <c r="T152" i="15"/>
  <c r="S152" i="15"/>
  <c r="X151" i="15"/>
  <c r="AA151" i="15" s="1"/>
  <c r="W151" i="15"/>
  <c r="V151" i="15"/>
  <c r="U151" i="15"/>
  <c r="T151" i="15"/>
  <c r="S151" i="15"/>
  <c r="X150" i="15"/>
  <c r="AA150" i="15" s="1"/>
  <c r="W150" i="15"/>
  <c r="V150" i="15"/>
  <c r="U150" i="15"/>
  <c r="T150" i="15"/>
  <c r="S150" i="15"/>
  <c r="X149" i="15"/>
  <c r="AA149" i="15" s="1"/>
  <c r="W149" i="15"/>
  <c r="V149" i="15"/>
  <c r="U149" i="15"/>
  <c r="T149" i="15"/>
  <c r="S149" i="15"/>
  <c r="X148" i="15"/>
  <c r="AA148" i="15" s="1"/>
  <c r="W148" i="15"/>
  <c r="V148" i="15"/>
  <c r="U148" i="15"/>
  <c r="T148" i="15"/>
  <c r="S148" i="15"/>
  <c r="X147" i="15"/>
  <c r="AA147" i="15" s="1"/>
  <c r="W147" i="15"/>
  <c r="V147" i="15"/>
  <c r="U147" i="15"/>
  <c r="T147" i="15"/>
  <c r="S147" i="15"/>
  <c r="X146" i="15"/>
  <c r="AA146" i="15" s="1"/>
  <c r="W146" i="15"/>
  <c r="V146" i="15"/>
  <c r="U146" i="15"/>
  <c r="T146" i="15"/>
  <c r="S146" i="15"/>
  <c r="X145" i="15"/>
  <c r="AA145" i="15" s="1"/>
  <c r="W145" i="15"/>
  <c r="V145" i="15"/>
  <c r="U145" i="15"/>
  <c r="T145" i="15"/>
  <c r="S145" i="15"/>
  <c r="X144" i="15"/>
  <c r="AA144" i="15" s="1"/>
  <c r="W144" i="15"/>
  <c r="V144" i="15"/>
  <c r="U144" i="15"/>
  <c r="T144" i="15"/>
  <c r="S144" i="15"/>
  <c r="X143" i="15"/>
  <c r="AA143" i="15" s="1"/>
  <c r="W143" i="15"/>
  <c r="V143" i="15"/>
  <c r="U143" i="15"/>
  <c r="T143" i="15"/>
  <c r="S143" i="15"/>
  <c r="X142" i="15"/>
  <c r="AA142" i="15" s="1"/>
  <c r="W142" i="15"/>
  <c r="V142" i="15"/>
  <c r="U142" i="15"/>
  <c r="T142" i="15"/>
  <c r="S142" i="15"/>
  <c r="X141" i="15"/>
  <c r="AA141" i="15" s="1"/>
  <c r="W141" i="15"/>
  <c r="V141" i="15"/>
  <c r="U141" i="15"/>
  <c r="T141" i="15"/>
  <c r="S141" i="15"/>
  <c r="X140" i="15"/>
  <c r="AA140" i="15" s="1"/>
  <c r="W140" i="15"/>
  <c r="V140" i="15"/>
  <c r="U140" i="15"/>
  <c r="T140" i="15"/>
  <c r="S140" i="15"/>
  <c r="X139" i="15"/>
  <c r="AA139" i="15" s="1"/>
  <c r="W139" i="15"/>
  <c r="V139" i="15"/>
  <c r="U139" i="15"/>
  <c r="T139" i="15"/>
  <c r="S139" i="15"/>
  <c r="X138" i="15"/>
  <c r="AA138" i="15" s="1"/>
  <c r="W138" i="15"/>
  <c r="V138" i="15"/>
  <c r="U138" i="15"/>
  <c r="T138" i="15"/>
  <c r="S138" i="15"/>
  <c r="X137" i="15"/>
  <c r="AA137" i="15" s="1"/>
  <c r="W137" i="15"/>
  <c r="V137" i="15"/>
  <c r="U137" i="15"/>
  <c r="T137" i="15"/>
  <c r="S137" i="15"/>
  <c r="X136" i="15"/>
  <c r="AA136" i="15" s="1"/>
  <c r="W136" i="15"/>
  <c r="V136" i="15"/>
  <c r="U136" i="15"/>
  <c r="T136" i="15"/>
  <c r="S136" i="15"/>
  <c r="X135" i="15"/>
  <c r="AA135" i="15" s="1"/>
  <c r="W135" i="15"/>
  <c r="V135" i="15"/>
  <c r="U135" i="15"/>
  <c r="T135" i="15"/>
  <c r="S135" i="15"/>
  <c r="X134" i="15"/>
  <c r="AA134" i="15" s="1"/>
  <c r="W134" i="15"/>
  <c r="V134" i="15"/>
  <c r="U134" i="15"/>
  <c r="T134" i="15"/>
  <c r="S134" i="15"/>
  <c r="X133" i="15"/>
  <c r="AA133" i="15" s="1"/>
  <c r="W133" i="15"/>
  <c r="V133" i="15"/>
  <c r="U133" i="15"/>
  <c r="T133" i="15"/>
  <c r="S133" i="15"/>
  <c r="X132" i="15"/>
  <c r="AA132" i="15" s="1"/>
  <c r="W132" i="15"/>
  <c r="V132" i="15"/>
  <c r="U132" i="15"/>
  <c r="T132" i="15"/>
  <c r="S132" i="15"/>
  <c r="X131" i="15"/>
  <c r="AA131" i="15" s="1"/>
  <c r="W131" i="15"/>
  <c r="V131" i="15"/>
  <c r="U131" i="15"/>
  <c r="T131" i="15"/>
  <c r="S131" i="15"/>
  <c r="X130" i="15"/>
  <c r="AA130" i="15" s="1"/>
  <c r="W130" i="15"/>
  <c r="V130" i="15"/>
  <c r="U130" i="15"/>
  <c r="T130" i="15"/>
  <c r="S130" i="15"/>
  <c r="X129" i="15"/>
  <c r="AA129" i="15" s="1"/>
  <c r="W129" i="15"/>
  <c r="V129" i="15"/>
  <c r="U129" i="15"/>
  <c r="T129" i="15"/>
  <c r="S129" i="15"/>
  <c r="S128" i="15"/>
  <c r="AB105" i="15" a="1"/>
  <c r="AB105" i="15" s="1"/>
  <c r="AA105" i="15" a="1"/>
  <c r="AA105" i="15" s="1"/>
  <c r="U105" i="15" a="1"/>
  <c r="U105" i="15" s="1"/>
  <c r="AB104" i="15" a="1"/>
  <c r="AB104" i="15" s="1"/>
  <c r="AA104" i="15" a="1"/>
  <c r="AA104" i="15" s="1"/>
  <c r="U104" i="15" a="1"/>
  <c r="U104" i="15" s="1"/>
  <c r="AB103" i="15" a="1"/>
  <c r="AB103" i="15" s="1"/>
  <c r="AA103" i="15" a="1"/>
  <c r="AA103" i="15" s="1"/>
  <c r="U103" i="15" a="1"/>
  <c r="U103" i="15" s="1"/>
  <c r="AB102" i="15" a="1"/>
  <c r="AB102" i="15" s="1"/>
  <c r="AA102" i="15" a="1"/>
  <c r="AA102" i="15" s="1"/>
  <c r="U102" i="15" a="1"/>
  <c r="U102" i="15" s="1"/>
  <c r="AB101" i="15" a="1"/>
  <c r="AB101" i="15" s="1"/>
  <c r="AA101" i="15" a="1"/>
  <c r="AA101" i="15" s="1"/>
  <c r="U101" i="15" a="1"/>
  <c r="U101" i="15" s="1"/>
  <c r="AB100" i="15" a="1"/>
  <c r="AB100" i="15" s="1"/>
  <c r="AA100" i="15" a="1"/>
  <c r="AA100" i="15" s="1"/>
  <c r="U100" i="15" a="1"/>
  <c r="U100" i="15" s="1"/>
  <c r="AB99" i="15" a="1"/>
  <c r="AB99" i="15" s="1"/>
  <c r="AA99" i="15" a="1"/>
  <c r="AA99" i="15" s="1"/>
  <c r="U99" i="15" a="1"/>
  <c r="U99" i="15" s="1"/>
  <c r="AB98" i="15" a="1"/>
  <c r="AB98" i="15" s="1"/>
  <c r="AA98" i="15" a="1"/>
  <c r="AA98" i="15" s="1"/>
  <c r="U98" i="15" a="1"/>
  <c r="U98" i="15" s="1"/>
  <c r="AB97" i="15" a="1"/>
  <c r="AB97" i="15" s="1"/>
  <c r="AA97" i="15" a="1"/>
  <c r="AA97" i="15" s="1"/>
  <c r="U97" i="15" a="1"/>
  <c r="U97" i="15" s="1"/>
  <c r="AB96" i="15" a="1"/>
  <c r="AB96" i="15" s="1"/>
  <c r="AA96" i="15" a="1"/>
  <c r="AA96" i="15" s="1"/>
  <c r="U96" i="15" a="1"/>
  <c r="U96" i="15" s="1"/>
  <c r="AB95" i="15" a="1"/>
  <c r="AB95" i="15" s="1"/>
  <c r="AA95" i="15" a="1"/>
  <c r="AA95" i="15" s="1"/>
  <c r="U95" i="15" a="1"/>
  <c r="U95" i="15" s="1"/>
  <c r="AB94" i="15" a="1"/>
  <c r="AB94" i="15" s="1"/>
  <c r="AA94" i="15" a="1"/>
  <c r="AA94" i="15" s="1"/>
  <c r="U94" i="15" a="1"/>
  <c r="U94" i="15" s="1"/>
  <c r="AB93" i="15" a="1"/>
  <c r="AB93" i="15" s="1"/>
  <c r="AA93" i="15" a="1"/>
  <c r="AA93" i="15" s="1"/>
  <c r="U93" i="15" a="1"/>
  <c r="U93" i="15" s="1"/>
  <c r="AB92" i="15" a="1"/>
  <c r="AB92" i="15" s="1"/>
  <c r="AA92" i="15" a="1"/>
  <c r="AA92" i="15" s="1"/>
  <c r="U92" i="15" a="1"/>
  <c r="U92" i="15" s="1"/>
  <c r="AB91" i="15" a="1"/>
  <c r="AB91" i="15" s="1"/>
  <c r="AA91" i="15" a="1"/>
  <c r="AA91" i="15" s="1"/>
  <c r="U91" i="15" a="1"/>
  <c r="U91" i="15" s="1"/>
  <c r="AB90" i="15" a="1"/>
  <c r="AB90" i="15" s="1"/>
  <c r="AA90" i="15" a="1"/>
  <c r="AA90" i="15" s="1"/>
  <c r="U90" i="15" a="1"/>
  <c r="U90" i="15" s="1"/>
  <c r="AB89" i="15" a="1"/>
  <c r="AB89" i="15" s="1"/>
  <c r="AA89" i="15" a="1"/>
  <c r="AA89" i="15" s="1"/>
  <c r="U89" i="15" a="1"/>
  <c r="U89" i="15" s="1"/>
  <c r="AB88" i="15" a="1"/>
  <c r="AB88" i="15" s="1"/>
  <c r="AA88" i="15" a="1"/>
  <c r="AA88" i="15" s="1"/>
  <c r="U88" i="15" a="1"/>
  <c r="U88" i="15" s="1"/>
  <c r="AB87" i="15" a="1"/>
  <c r="AB87" i="15" s="1"/>
  <c r="AA87" i="15" a="1"/>
  <c r="AA87" i="15" s="1"/>
  <c r="U87" i="15" a="1"/>
  <c r="U87" i="15" s="1"/>
  <c r="AB86" i="15" a="1"/>
  <c r="AB86" i="15" s="1"/>
  <c r="AA86" i="15" a="1"/>
  <c r="AA86" i="15" s="1"/>
  <c r="U86" i="15" a="1"/>
  <c r="U86" i="15" s="1"/>
  <c r="AB85" i="15" a="1"/>
  <c r="AB85" i="15" s="1"/>
  <c r="AA85" i="15" a="1"/>
  <c r="AA85" i="15" s="1"/>
  <c r="U85" i="15" a="1"/>
  <c r="U85" i="15" s="1"/>
  <c r="AB84" i="15" a="1"/>
  <c r="AB84" i="15" s="1"/>
  <c r="AA84" i="15" a="1"/>
  <c r="AA84" i="15" s="1"/>
  <c r="U84" i="15" a="1"/>
  <c r="U84" i="15" s="1"/>
  <c r="AB83" i="15" a="1"/>
  <c r="AB83" i="15" s="1"/>
  <c r="AA83" i="15" a="1"/>
  <c r="AA83" i="15" s="1"/>
  <c r="U83" i="15" a="1"/>
  <c r="U83" i="15" s="1"/>
  <c r="AB82" i="15" a="1"/>
  <c r="AB82" i="15" s="1"/>
  <c r="AA82" i="15" a="1"/>
  <c r="AA82" i="15" s="1"/>
  <c r="U82" i="15" a="1"/>
  <c r="U82" i="15" s="1"/>
  <c r="AB81" i="15" a="1"/>
  <c r="AB81" i="15" s="1"/>
  <c r="AA81" i="15" a="1"/>
  <c r="AA81" i="15" s="1"/>
  <c r="U81" i="15" a="1"/>
  <c r="U81" i="15" s="1"/>
  <c r="AB80" i="15" a="1"/>
  <c r="AB80" i="15" s="1"/>
  <c r="AA80" i="15" a="1"/>
  <c r="AA80" i="15" s="1"/>
  <c r="U80" i="15" a="1"/>
  <c r="U80" i="15" s="1"/>
  <c r="AB79" i="15" a="1"/>
  <c r="AB79" i="15" s="1"/>
  <c r="AA79" i="15" a="1"/>
  <c r="AA79" i="15" s="1"/>
  <c r="U79" i="15" a="1"/>
  <c r="U79" i="15" s="1"/>
  <c r="AB78" i="15" a="1"/>
  <c r="AB78" i="15" s="1"/>
  <c r="AA78" i="15" a="1"/>
  <c r="AA78" i="15" s="1"/>
  <c r="U78" i="15" a="1"/>
  <c r="U78" i="15" s="1"/>
  <c r="AB77" i="15" a="1"/>
  <c r="AB77" i="15" s="1"/>
  <c r="AA77" i="15" a="1"/>
  <c r="AA77" i="15" s="1"/>
  <c r="U77" i="15" a="1"/>
  <c r="U77" i="15" s="1"/>
  <c r="AB76" i="15" a="1"/>
  <c r="AB76" i="15" s="1"/>
  <c r="AA76" i="15" a="1"/>
  <c r="AA76" i="15" s="1"/>
  <c r="U76" i="15" a="1"/>
  <c r="U76" i="15" s="1"/>
  <c r="AB75" i="15" a="1"/>
  <c r="AB75" i="15" s="1"/>
  <c r="AA75" i="15" a="1"/>
  <c r="AA75" i="15" s="1"/>
  <c r="U75" i="15" a="1"/>
  <c r="U75" i="15" s="1"/>
  <c r="AB74" i="15" a="1"/>
  <c r="AB74" i="15" s="1"/>
  <c r="AA74" i="15" a="1"/>
  <c r="AA74" i="15" s="1"/>
  <c r="U74" i="15" a="1"/>
  <c r="U74" i="15" s="1"/>
  <c r="AB73" i="15" a="1"/>
  <c r="AB73" i="15" s="1"/>
  <c r="AA73" i="15" a="1"/>
  <c r="AA73" i="15" s="1"/>
  <c r="U73" i="15" a="1"/>
  <c r="U73" i="15" s="1"/>
  <c r="AB72" i="15" a="1"/>
  <c r="AB72" i="15" s="1"/>
  <c r="AA72" i="15" a="1"/>
  <c r="AA72" i="15" s="1"/>
  <c r="U72" i="15" a="1"/>
  <c r="U72" i="15" s="1"/>
  <c r="AB71" i="15" a="1"/>
  <c r="AB71" i="15" s="1"/>
  <c r="AA71" i="15" a="1"/>
  <c r="AA71" i="15" s="1"/>
  <c r="U71" i="15" a="1"/>
  <c r="U71" i="15" s="1"/>
  <c r="AB70" i="15" a="1"/>
  <c r="AB70" i="15" s="1"/>
  <c r="AA70" i="15" a="1"/>
  <c r="AA70" i="15" s="1"/>
  <c r="U70" i="15" a="1"/>
  <c r="U70" i="15" s="1"/>
  <c r="AB69" i="15" a="1"/>
  <c r="AB69" i="15" s="1"/>
  <c r="AA69" i="15" a="1"/>
  <c r="AA69" i="15" s="1"/>
  <c r="U69" i="15" a="1"/>
  <c r="U69" i="15" s="1"/>
  <c r="AB68" i="15" a="1"/>
  <c r="AB68" i="15" s="1"/>
  <c r="AA68" i="15" a="1"/>
  <c r="AA68" i="15" s="1"/>
  <c r="U68" i="15" a="1"/>
  <c r="U68" i="15" s="1"/>
  <c r="AB67" i="15" a="1"/>
  <c r="AB67" i="15" s="1"/>
  <c r="AA67" i="15" a="1"/>
  <c r="AA67" i="15" s="1"/>
  <c r="U67" i="15" a="1"/>
  <c r="U67" i="15" s="1"/>
  <c r="U54" i="15"/>
  <c r="AC34" i="15"/>
  <c r="AC33" i="15"/>
  <c r="AC32" i="15"/>
  <c r="AC31" i="15"/>
  <c r="AC30" i="15"/>
  <c r="AC29" i="15"/>
  <c r="AC28" i="15"/>
  <c r="AC27" i="15"/>
  <c r="AC26" i="15"/>
  <c r="AC25" i="15"/>
  <c r="AC24" i="15"/>
  <c r="AC23" i="15"/>
  <c r="AC22" i="15"/>
  <c r="AC21" i="15"/>
  <c r="AC20" i="15"/>
  <c r="AC19" i="15"/>
  <c r="AC18" i="15"/>
  <c r="AC17" i="15"/>
  <c r="AC16" i="15"/>
  <c r="AC15" i="15"/>
  <c r="AC14" i="15"/>
  <c r="AC13" i="15"/>
  <c r="AC12" i="15"/>
  <c r="AC11" i="15"/>
  <c r="AC10" i="15"/>
  <c r="AC4" i="15"/>
  <c r="Z4" i="15"/>
  <c r="T4" i="15"/>
  <c r="AB3" i="15"/>
  <c r="T3" i="15"/>
  <c r="T2" i="15"/>
  <c r="C66" i="15" a="1"/>
  <c r="C66" i="15" s="1"/>
  <c r="J105" i="15" a="1"/>
  <c r="J105" i="15" s="1"/>
  <c r="I105" i="15" a="1"/>
  <c r="I105" i="15" s="1"/>
  <c r="C105" i="15" a="1"/>
  <c r="C105" i="15" s="1"/>
  <c r="J104" i="15" a="1"/>
  <c r="J104" i="15" s="1"/>
  <c r="I104" i="15" a="1"/>
  <c r="I104" i="15" s="1"/>
  <c r="C104" i="15" a="1"/>
  <c r="C104" i="15" s="1"/>
  <c r="J103" i="15" a="1"/>
  <c r="J103" i="15" s="1"/>
  <c r="I103" i="15" a="1"/>
  <c r="I103" i="15" s="1"/>
  <c r="C103" i="15" a="1"/>
  <c r="C103" i="15" s="1"/>
  <c r="J102" i="15" a="1"/>
  <c r="J102" i="15" s="1"/>
  <c r="I102" i="15" a="1"/>
  <c r="I102" i="15" s="1"/>
  <c r="C102" i="15" a="1"/>
  <c r="C102" i="15" s="1"/>
  <c r="J101" i="15" a="1"/>
  <c r="J101" i="15" s="1"/>
  <c r="I101" i="15" a="1"/>
  <c r="I101" i="15" s="1"/>
  <c r="C101" i="15" a="1"/>
  <c r="C101" i="15" s="1"/>
  <c r="J100" i="15" a="1"/>
  <c r="J100" i="15" s="1"/>
  <c r="I100" i="15" a="1"/>
  <c r="I100" i="15" s="1"/>
  <c r="C100" i="15" a="1"/>
  <c r="C100" i="15" s="1"/>
  <c r="J99" i="15" a="1"/>
  <c r="J99" i="15" s="1"/>
  <c r="I99" i="15" a="1"/>
  <c r="I99" i="15" s="1"/>
  <c r="C99" i="15" a="1"/>
  <c r="C99" i="15" s="1"/>
  <c r="J98" i="15" a="1"/>
  <c r="J98" i="15" s="1"/>
  <c r="I98" i="15" a="1"/>
  <c r="I98" i="15" s="1"/>
  <c r="C98" i="15" a="1"/>
  <c r="C98" i="15" s="1"/>
  <c r="J97" i="15" a="1"/>
  <c r="J97" i="15" s="1"/>
  <c r="I97" i="15" a="1"/>
  <c r="I97" i="15" s="1"/>
  <c r="C97" i="15" a="1"/>
  <c r="C97" i="15" s="1"/>
  <c r="J96" i="15" a="1"/>
  <c r="J96" i="15" s="1"/>
  <c r="I96" i="15" a="1"/>
  <c r="I96" i="15" s="1"/>
  <c r="C96" i="15" a="1"/>
  <c r="C96" i="15" s="1"/>
  <c r="J95" i="15" a="1"/>
  <c r="J95" i="15" s="1"/>
  <c r="I95" i="15" a="1"/>
  <c r="I95" i="15" s="1"/>
  <c r="C95" i="15" a="1"/>
  <c r="C95" i="15" s="1"/>
  <c r="J94" i="15" a="1"/>
  <c r="J94" i="15" s="1"/>
  <c r="I94" i="15" a="1"/>
  <c r="I94" i="15" s="1"/>
  <c r="C94" i="15" a="1"/>
  <c r="C94" i="15" s="1"/>
  <c r="J93" i="15" a="1"/>
  <c r="J93" i="15" s="1"/>
  <c r="I93" i="15" a="1"/>
  <c r="I93" i="15" s="1"/>
  <c r="C93" i="15" a="1"/>
  <c r="C93" i="15" s="1"/>
  <c r="J92" i="15" a="1"/>
  <c r="J92" i="15" s="1"/>
  <c r="I92" i="15" a="1"/>
  <c r="I92" i="15" s="1"/>
  <c r="C92" i="15" a="1"/>
  <c r="C92" i="15" s="1"/>
  <c r="J91" i="15" a="1"/>
  <c r="J91" i="15" s="1"/>
  <c r="I91" i="15" a="1"/>
  <c r="I91" i="15" s="1"/>
  <c r="C91" i="15" a="1"/>
  <c r="C91" i="15" s="1"/>
  <c r="J90" i="15" a="1"/>
  <c r="J90" i="15" s="1"/>
  <c r="I90" i="15" a="1"/>
  <c r="I90" i="15" s="1"/>
  <c r="C90" i="15" a="1"/>
  <c r="C90" i="15" s="1"/>
  <c r="J89" i="15" a="1"/>
  <c r="J89" i="15" s="1"/>
  <c r="I89" i="15" a="1"/>
  <c r="I89" i="15" s="1"/>
  <c r="C89" i="15" a="1"/>
  <c r="C89" i="15" s="1"/>
  <c r="J88" i="15" a="1"/>
  <c r="J88" i="15" s="1"/>
  <c r="I88" i="15" a="1"/>
  <c r="I88" i="15" s="1"/>
  <c r="C88" i="15" a="1"/>
  <c r="C88" i="15" s="1"/>
  <c r="J87" i="15" a="1"/>
  <c r="J87" i="15" s="1"/>
  <c r="I87" i="15" a="1"/>
  <c r="I87" i="15" s="1"/>
  <c r="C87" i="15" a="1"/>
  <c r="C87" i="15" s="1"/>
  <c r="J86" i="15" a="1"/>
  <c r="J86" i="15" s="1"/>
  <c r="I86" i="15" a="1"/>
  <c r="I86" i="15" s="1"/>
  <c r="C86" i="15" a="1"/>
  <c r="C86" i="15" s="1"/>
  <c r="J85" i="15" a="1"/>
  <c r="J85" i="15" s="1"/>
  <c r="I85" i="15" a="1"/>
  <c r="I85" i="15" s="1"/>
  <c r="C85" i="15" a="1"/>
  <c r="C85" i="15" s="1"/>
  <c r="J84" i="15" a="1"/>
  <c r="J84" i="15" s="1"/>
  <c r="I84" i="15" a="1"/>
  <c r="I84" i="15" s="1"/>
  <c r="C84" i="15" a="1"/>
  <c r="C84" i="15" s="1"/>
  <c r="J83" i="15" a="1"/>
  <c r="J83" i="15" s="1"/>
  <c r="I83" i="15" a="1"/>
  <c r="I83" i="15" s="1"/>
  <c r="C83" i="15" a="1"/>
  <c r="C83" i="15" s="1"/>
  <c r="J82" i="15" a="1"/>
  <c r="J82" i="15" s="1"/>
  <c r="I82" i="15" a="1"/>
  <c r="I82" i="15" s="1"/>
  <c r="C82" i="15" a="1"/>
  <c r="C82" i="15" s="1"/>
  <c r="J81" i="15" a="1"/>
  <c r="J81" i="15" s="1"/>
  <c r="I81" i="15" a="1"/>
  <c r="I81" i="15" s="1"/>
  <c r="C81" i="15" a="1"/>
  <c r="C81" i="15" s="1"/>
  <c r="J80" i="15" a="1"/>
  <c r="J80" i="15" s="1"/>
  <c r="I80" i="15" a="1"/>
  <c r="I80" i="15" s="1"/>
  <c r="C80" i="15" a="1"/>
  <c r="C80" i="15" s="1"/>
  <c r="J79" i="15" a="1"/>
  <c r="J79" i="15" s="1"/>
  <c r="I79" i="15" a="1"/>
  <c r="I79" i="15" s="1"/>
  <c r="C79" i="15" a="1"/>
  <c r="C79" i="15" s="1"/>
  <c r="J78" i="15" a="1"/>
  <c r="J78" i="15" s="1"/>
  <c r="I78" i="15" a="1"/>
  <c r="I78" i="15" s="1"/>
  <c r="C78" i="15" a="1"/>
  <c r="C78" i="15" s="1"/>
  <c r="J77" i="15" a="1"/>
  <c r="J77" i="15" s="1"/>
  <c r="I77" i="15" a="1"/>
  <c r="I77" i="15" s="1"/>
  <c r="C77" i="15" a="1"/>
  <c r="C77" i="15" s="1"/>
  <c r="J76" i="15" a="1"/>
  <c r="J76" i="15" s="1"/>
  <c r="I76" i="15" a="1"/>
  <c r="I76" i="15" s="1"/>
  <c r="C76" i="15" a="1"/>
  <c r="C76" i="15" s="1"/>
  <c r="J75" i="15" a="1"/>
  <c r="J75" i="15" s="1"/>
  <c r="I75" i="15" a="1"/>
  <c r="I75" i="15" s="1"/>
  <c r="C75" i="15" a="1"/>
  <c r="C75" i="15" s="1"/>
  <c r="J74" i="15" a="1"/>
  <c r="J74" i="15" s="1"/>
  <c r="I74" i="15" a="1"/>
  <c r="I74" i="15" s="1"/>
  <c r="C74" i="15" a="1"/>
  <c r="C74" i="15" s="1"/>
  <c r="J73" i="15" a="1"/>
  <c r="J73" i="15" s="1"/>
  <c r="I73" i="15" a="1"/>
  <c r="I73" i="15" s="1"/>
  <c r="C73" i="15" a="1"/>
  <c r="C73" i="15" s="1"/>
  <c r="J72" i="15" a="1"/>
  <c r="J72" i="15" s="1"/>
  <c r="I72" i="15" a="1"/>
  <c r="I72" i="15" s="1"/>
  <c r="C72" i="15" a="1"/>
  <c r="C72" i="15" s="1"/>
  <c r="J71" i="15" a="1"/>
  <c r="J71" i="15" s="1"/>
  <c r="I71" i="15" a="1"/>
  <c r="I71" i="15" s="1"/>
  <c r="C71" i="15" a="1"/>
  <c r="C71" i="15" s="1"/>
  <c r="J70" i="15" a="1"/>
  <c r="J70" i="15" s="1"/>
  <c r="I70" i="15" a="1"/>
  <c r="I70" i="15" s="1"/>
  <c r="C70" i="15" a="1"/>
  <c r="C70" i="15" s="1"/>
  <c r="J69" i="15" a="1"/>
  <c r="J69" i="15" s="1"/>
  <c r="I69" i="15" a="1"/>
  <c r="I69" i="15" s="1"/>
  <c r="C69" i="15" a="1"/>
  <c r="C69" i="15" s="1"/>
  <c r="J68" i="15" a="1"/>
  <c r="J68" i="15" s="1"/>
  <c r="I68" i="15" a="1"/>
  <c r="I68" i="15" s="1"/>
  <c r="C68" i="15" a="1"/>
  <c r="C68" i="15" s="1"/>
  <c r="J67" i="15" a="1"/>
  <c r="J67" i="15" s="1"/>
  <c r="I67" i="15" a="1"/>
  <c r="I67" i="15" s="1"/>
  <c r="C67" i="15" a="1"/>
  <c r="C67" i="15" s="1"/>
  <c r="J66" i="15" a="1"/>
  <c r="J66" i="15" s="1"/>
  <c r="I66" i="15" a="1"/>
  <c r="I66" i="15" s="1"/>
  <c r="D25" i="12"/>
  <c r="C25" i="12"/>
  <c r="C69" i="6"/>
  <c r="C91" i="6" s="1"/>
  <c r="C68" i="6"/>
  <c r="C90" i="6" s="1"/>
  <c r="C67" i="6"/>
  <c r="C89" i="6" s="1"/>
  <c r="C66" i="6"/>
  <c r="C88" i="6" s="1"/>
  <c r="C65" i="6"/>
  <c r="C87" i="6" s="1"/>
  <c r="B69" i="6"/>
  <c r="B91" i="6" s="1"/>
  <c r="B68" i="6"/>
  <c r="B90" i="6" s="1"/>
  <c r="B67" i="6"/>
  <c r="B89" i="6" s="1"/>
  <c r="B66" i="6"/>
  <c r="B88" i="6" s="1"/>
  <c r="B65" i="6"/>
  <c r="B87" i="6" s="1"/>
  <c r="Q31" i="9"/>
  <c r="P31" i="9"/>
  <c r="N31" i="9"/>
  <c r="K108" i="17"/>
  <c r="K27" i="17"/>
  <c r="K28" i="17"/>
  <c r="K29" i="17"/>
  <c r="K30" i="17"/>
  <c r="K31" i="17"/>
  <c r="K32" i="17"/>
  <c r="K33" i="17"/>
  <c r="K34" i="17"/>
  <c r="K35" i="17"/>
  <c r="K36" i="17"/>
  <c r="K37" i="17"/>
  <c r="K38" i="17"/>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9" i="17"/>
  <c r="K70" i="17"/>
  <c r="K71" i="17"/>
  <c r="K72" i="17"/>
  <c r="K73" i="17"/>
  <c r="K74" i="17"/>
  <c r="K75" i="17"/>
  <c r="K76" i="17"/>
  <c r="K77" i="17"/>
  <c r="K78" i="17"/>
  <c r="K79" i="17"/>
  <c r="K80" i="17"/>
  <c r="K81" i="17"/>
  <c r="K82" i="17"/>
  <c r="K83" i="17"/>
  <c r="K84" i="17"/>
  <c r="K85" i="17"/>
  <c r="K86" i="17"/>
  <c r="K87" i="17"/>
  <c r="K88" i="17"/>
  <c r="K89" i="17"/>
  <c r="K90" i="17"/>
  <c r="K91" i="17"/>
  <c r="K92" i="17"/>
  <c r="K93" i="17"/>
  <c r="K94" i="17"/>
  <c r="K95" i="17"/>
  <c r="K96" i="17"/>
  <c r="K97" i="17"/>
  <c r="K98" i="17"/>
  <c r="K99" i="17"/>
  <c r="K100" i="17"/>
  <c r="K101" i="17"/>
  <c r="K102" i="17"/>
  <c r="K103" i="17"/>
  <c r="K104" i="17"/>
  <c r="K105" i="17"/>
  <c r="K106" i="17"/>
  <c r="K107" i="17"/>
  <c r="D27" i="17" a="1"/>
  <c r="D27" i="17" s="1"/>
  <c r="Z27" i="17" s="1"/>
  <c r="D28" i="17" a="1"/>
  <c r="D28" i="17" s="1"/>
  <c r="Z28" i="17" s="1"/>
  <c r="D29" i="17" a="1"/>
  <c r="D29" i="17" s="1"/>
  <c r="Z29" i="17" s="1"/>
  <c r="D30" i="17" a="1"/>
  <c r="D30" i="17" s="1"/>
  <c r="Z30" i="17" s="1"/>
  <c r="D31" i="17" a="1"/>
  <c r="D31" i="17" s="1"/>
  <c r="Z31" i="17" s="1"/>
  <c r="D32" i="17" a="1"/>
  <c r="D32" i="17" s="1"/>
  <c r="Z32" i="17" s="1"/>
  <c r="D33" i="17" a="1"/>
  <c r="D33" i="17" s="1"/>
  <c r="Z33" i="17" s="1"/>
  <c r="D34" i="17" a="1"/>
  <c r="D34" i="17" s="1"/>
  <c r="Z34" i="17" s="1"/>
  <c r="D35" i="17" a="1"/>
  <c r="D35" i="17" s="1"/>
  <c r="Z35" i="17" s="1"/>
  <c r="D36" i="17" a="1"/>
  <c r="D36" i="17" s="1"/>
  <c r="Z36" i="17" s="1"/>
  <c r="D37" i="17" a="1"/>
  <c r="D37" i="17" s="1"/>
  <c r="Z37" i="17" s="1"/>
  <c r="D38" i="17" a="1"/>
  <c r="D38" i="17" s="1"/>
  <c r="Z38" i="17" s="1"/>
  <c r="D39" i="17" a="1"/>
  <c r="D39" i="17" s="1"/>
  <c r="Z39" i="17" s="1"/>
  <c r="D40" i="17" a="1"/>
  <c r="D40" i="17" s="1"/>
  <c r="Z40" i="17" s="1"/>
  <c r="D41" i="17" a="1"/>
  <c r="D41" i="17" s="1"/>
  <c r="Z41" i="17" s="1"/>
  <c r="D42" i="17" a="1"/>
  <c r="D42" i="17" s="1"/>
  <c r="Z42" i="17" s="1"/>
  <c r="D43" i="17" a="1"/>
  <c r="D43" i="17" s="1"/>
  <c r="Z43" i="17" s="1"/>
  <c r="D44" i="17" a="1"/>
  <c r="D44" i="17" s="1"/>
  <c r="Z44" i="17" s="1"/>
  <c r="D45" i="17" a="1"/>
  <c r="D45" i="17" s="1"/>
  <c r="Z45" i="17" s="1"/>
  <c r="D46" i="17" a="1"/>
  <c r="D46" i="17" s="1"/>
  <c r="Z46" i="17" s="1"/>
  <c r="D47" i="17" a="1"/>
  <c r="D47" i="17" s="1"/>
  <c r="Z47" i="17" s="1"/>
  <c r="D48" i="17" a="1"/>
  <c r="D48" i="17" s="1"/>
  <c r="Z48" i="17" s="1"/>
  <c r="D49" i="17" a="1"/>
  <c r="D49" i="17" s="1"/>
  <c r="Z49" i="17" s="1"/>
  <c r="D50" i="17" a="1"/>
  <c r="D50" i="17" s="1"/>
  <c r="Z50" i="17" s="1"/>
  <c r="D51" i="17" a="1"/>
  <c r="D51" i="17" s="1"/>
  <c r="Z51" i="17" s="1"/>
  <c r="D52" i="17" a="1"/>
  <c r="D52" i="17" s="1"/>
  <c r="Z52" i="17" s="1"/>
  <c r="D53" i="17" a="1"/>
  <c r="D53" i="17" s="1"/>
  <c r="Z53" i="17" s="1"/>
  <c r="D54" i="17" a="1"/>
  <c r="D54" i="17" s="1"/>
  <c r="Z54" i="17" s="1"/>
  <c r="D55" i="17" a="1"/>
  <c r="D55" i="17" s="1"/>
  <c r="Z55" i="17" s="1"/>
  <c r="D56" i="17" a="1"/>
  <c r="D56" i="17" s="1"/>
  <c r="Z56" i="17" s="1"/>
  <c r="D57" i="17" a="1"/>
  <c r="D57" i="17" s="1"/>
  <c r="Z57" i="17" s="1"/>
  <c r="D58" i="17" a="1"/>
  <c r="D58" i="17" s="1"/>
  <c r="Z58" i="17" s="1"/>
  <c r="D59" i="17" a="1"/>
  <c r="D59" i="17" s="1"/>
  <c r="Z59" i="17" s="1"/>
  <c r="D60" i="17" a="1"/>
  <c r="D60" i="17" s="1"/>
  <c r="Z60" i="17" s="1"/>
  <c r="D61" i="17" a="1"/>
  <c r="D61" i="17" s="1"/>
  <c r="Z61" i="17" s="1"/>
  <c r="D62" i="17" a="1"/>
  <c r="D62" i="17" s="1"/>
  <c r="Z62" i="17" s="1"/>
  <c r="D63" i="17" a="1"/>
  <c r="D63" i="17" s="1"/>
  <c r="Z63" i="17" s="1"/>
  <c r="D64" i="17" a="1"/>
  <c r="D64" i="17" s="1"/>
  <c r="Z64" i="17" s="1"/>
  <c r="D65" i="17" a="1"/>
  <c r="D65" i="17" s="1"/>
  <c r="Z65" i="17" s="1"/>
  <c r="D69" i="17" a="1"/>
  <c r="D69" i="17" s="1"/>
  <c r="Z69" i="17" s="1"/>
  <c r="D70" i="17" a="1"/>
  <c r="D70" i="17" s="1"/>
  <c r="Z70" i="17" s="1"/>
  <c r="D71" i="17" a="1"/>
  <c r="D71" i="17" s="1"/>
  <c r="Z71" i="17" s="1"/>
  <c r="D72" i="17" a="1"/>
  <c r="D72" i="17" s="1"/>
  <c r="Z72" i="17" s="1"/>
  <c r="D73" i="17" a="1"/>
  <c r="D73" i="17" s="1"/>
  <c r="Z73" i="17" s="1"/>
  <c r="D74" i="17" a="1"/>
  <c r="D74" i="17" s="1"/>
  <c r="Z74" i="17" s="1"/>
  <c r="D75" i="17" a="1"/>
  <c r="D75" i="17" s="1"/>
  <c r="Z75" i="17" s="1"/>
  <c r="D76" i="17" a="1"/>
  <c r="D76" i="17" s="1"/>
  <c r="Z76" i="17" s="1"/>
  <c r="D77" i="17" a="1"/>
  <c r="D77" i="17" s="1"/>
  <c r="Z77" i="17" s="1"/>
  <c r="D78" i="17" a="1"/>
  <c r="D78" i="17" s="1"/>
  <c r="Z78" i="17" s="1"/>
  <c r="D79" i="17" a="1"/>
  <c r="D79" i="17" s="1"/>
  <c r="Z79" i="17" s="1"/>
  <c r="D80" i="17" a="1"/>
  <c r="D80" i="17" s="1"/>
  <c r="Z80" i="17" s="1"/>
  <c r="D81" i="17" a="1"/>
  <c r="D81" i="17" s="1"/>
  <c r="Z81" i="17" s="1"/>
  <c r="D82" i="17" a="1"/>
  <c r="D82" i="17" s="1"/>
  <c r="Z82" i="17" s="1"/>
  <c r="D83" i="17" a="1"/>
  <c r="D83" i="17" s="1"/>
  <c r="Z83" i="17" s="1"/>
  <c r="D84" i="17" a="1"/>
  <c r="D84" i="17" s="1"/>
  <c r="Z84" i="17" s="1"/>
  <c r="D85" i="17" a="1"/>
  <c r="D85" i="17" s="1"/>
  <c r="Z85" i="17" s="1"/>
  <c r="D86" i="17" a="1"/>
  <c r="D86" i="17" s="1"/>
  <c r="Z86" i="17" s="1"/>
  <c r="D87" i="17" a="1"/>
  <c r="D87" i="17" s="1"/>
  <c r="Z87" i="17" s="1"/>
  <c r="D88" i="17" a="1"/>
  <c r="D88" i="17" s="1"/>
  <c r="Z88" i="17" s="1"/>
  <c r="D89" i="17" a="1"/>
  <c r="D89" i="17" s="1"/>
  <c r="Z89" i="17" s="1"/>
  <c r="D90" i="17" a="1"/>
  <c r="D90" i="17" s="1"/>
  <c r="Z90" i="17" s="1"/>
  <c r="D91" i="17" a="1"/>
  <c r="D91" i="17" s="1"/>
  <c r="Z91" i="17" s="1"/>
  <c r="D92" i="17" a="1"/>
  <c r="D92" i="17" s="1"/>
  <c r="Z92" i="17" s="1"/>
  <c r="D93" i="17" a="1"/>
  <c r="D93" i="17" s="1"/>
  <c r="Z93" i="17" s="1"/>
  <c r="D94" i="17" a="1"/>
  <c r="D94" i="17" s="1"/>
  <c r="Z94" i="17" s="1"/>
  <c r="D95" i="17" a="1"/>
  <c r="D95" i="17" s="1"/>
  <c r="Z95" i="17" s="1"/>
  <c r="D96" i="17" a="1"/>
  <c r="D96" i="17" s="1"/>
  <c r="Z96" i="17" s="1"/>
  <c r="D97" i="17" a="1"/>
  <c r="D97" i="17" s="1"/>
  <c r="Z97" i="17" s="1"/>
  <c r="D98" i="17" a="1"/>
  <c r="D98" i="17" s="1"/>
  <c r="Z98" i="17" s="1"/>
  <c r="D99" i="17" a="1"/>
  <c r="D99" i="17" s="1"/>
  <c r="Z99" i="17" s="1"/>
  <c r="D100" i="17" a="1"/>
  <c r="D100" i="17" s="1"/>
  <c r="Z100" i="17" s="1"/>
  <c r="D101" i="17" a="1"/>
  <c r="D101" i="17" s="1"/>
  <c r="Z101" i="17" s="1"/>
  <c r="D102" i="17" a="1"/>
  <c r="D102" i="17" s="1"/>
  <c r="Z102" i="17" s="1"/>
  <c r="D103" i="17" a="1"/>
  <c r="D103" i="17" s="1"/>
  <c r="Z103" i="17" s="1"/>
  <c r="D104" i="17" a="1"/>
  <c r="D104" i="17" s="1"/>
  <c r="Z104" i="17" s="1"/>
  <c r="D105" i="17" a="1"/>
  <c r="D105" i="17" s="1"/>
  <c r="Z105" i="17" s="1"/>
  <c r="D106" i="17" a="1"/>
  <c r="D106" i="17" s="1"/>
  <c r="Z106" i="17" s="1"/>
  <c r="D107" i="17" a="1"/>
  <c r="D107" i="17" s="1"/>
  <c r="Z107" i="17" s="1"/>
  <c r="D108" i="17" a="1"/>
  <c r="D108" i="17" s="1"/>
  <c r="Z108" i="17" s="1"/>
  <c r="D26" i="17" a="1"/>
  <c r="D26" i="17" s="1"/>
  <c r="Z26" i="17" s="1"/>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38" i="16"/>
  <c r="D39" i="16" a="1"/>
  <c r="D39" i="16" s="1"/>
  <c r="D40" i="16" a="1"/>
  <c r="D40" i="16" s="1"/>
  <c r="D41" i="16" a="1"/>
  <c r="D41" i="16" s="1"/>
  <c r="D42" i="16" a="1"/>
  <c r="D42" i="16" s="1"/>
  <c r="W42" i="16" s="1"/>
  <c r="D43" i="16" a="1"/>
  <c r="D43" i="16" s="1"/>
  <c r="W43" i="16" s="1"/>
  <c r="D44" i="16" a="1"/>
  <c r="D44" i="16" s="1"/>
  <c r="W44" i="16" s="1"/>
  <c r="D45" i="16" a="1"/>
  <c r="D45" i="16" s="1"/>
  <c r="W45" i="16" s="1"/>
  <c r="D46" i="16" a="1"/>
  <c r="D46" i="16" s="1"/>
  <c r="W46" i="16" s="1"/>
  <c r="D47" i="16" a="1"/>
  <c r="D47" i="16" s="1"/>
  <c r="W47" i="16" s="1"/>
  <c r="D48" i="16" a="1"/>
  <c r="D48" i="16" s="1"/>
  <c r="W48" i="16" s="1"/>
  <c r="D49" i="16" a="1"/>
  <c r="D49" i="16" s="1"/>
  <c r="W49" i="16" s="1"/>
  <c r="D50" i="16" a="1"/>
  <c r="D50" i="16" s="1"/>
  <c r="W50" i="16" s="1"/>
  <c r="D51" i="16" a="1"/>
  <c r="D51" i="16" s="1"/>
  <c r="W51" i="16" s="1"/>
  <c r="D52" i="16" a="1"/>
  <c r="D52" i="16" s="1"/>
  <c r="W52" i="16" s="1"/>
  <c r="D53" i="16" a="1"/>
  <c r="D53" i="16" s="1"/>
  <c r="W53" i="16" s="1"/>
  <c r="D54" i="16" a="1"/>
  <c r="D54" i="16" s="1"/>
  <c r="W54" i="16" s="1"/>
  <c r="D55" i="16" a="1"/>
  <c r="D55" i="16" s="1"/>
  <c r="W55" i="16" s="1"/>
  <c r="D56" i="16" a="1"/>
  <c r="D56" i="16" s="1"/>
  <c r="W56" i="16" s="1"/>
  <c r="D57" i="16" a="1"/>
  <c r="D57" i="16" s="1"/>
  <c r="W57" i="16" s="1"/>
  <c r="D58" i="16" a="1"/>
  <c r="D58" i="16" s="1"/>
  <c r="W58" i="16" s="1"/>
  <c r="D59" i="16" a="1"/>
  <c r="D59" i="16" s="1"/>
  <c r="W59" i="16" s="1"/>
  <c r="D60" i="16" a="1"/>
  <c r="D60" i="16" s="1"/>
  <c r="W60" i="16" s="1"/>
  <c r="D61" i="16" a="1"/>
  <c r="D61" i="16" s="1"/>
  <c r="W61" i="16" s="1"/>
  <c r="D62" i="16" a="1"/>
  <c r="D62" i="16" s="1"/>
  <c r="W62" i="16" s="1"/>
  <c r="D63" i="16" a="1"/>
  <c r="D63" i="16" s="1"/>
  <c r="W63" i="16" s="1"/>
  <c r="D64" i="16" a="1"/>
  <c r="D64" i="16" s="1"/>
  <c r="W64" i="16" s="1"/>
  <c r="D65" i="16" a="1"/>
  <c r="D65" i="16" s="1"/>
  <c r="W65" i="16" s="1"/>
  <c r="D66" i="16" a="1"/>
  <c r="D66" i="16" s="1"/>
  <c r="W66" i="16" s="1"/>
  <c r="D67" i="16" a="1"/>
  <c r="D67" i="16" s="1"/>
  <c r="W67" i="16" s="1"/>
  <c r="D68" i="16" a="1"/>
  <c r="D68" i="16" s="1"/>
  <c r="W68" i="16" s="1"/>
  <c r="D69" i="16" a="1"/>
  <c r="D69" i="16" s="1"/>
  <c r="W69" i="16" s="1"/>
  <c r="D70" i="16" a="1"/>
  <c r="D70" i="16" s="1"/>
  <c r="W70" i="16" s="1"/>
  <c r="D71" i="16" a="1"/>
  <c r="D71" i="16" s="1"/>
  <c r="W71" i="16" s="1"/>
  <c r="D72" i="16" a="1"/>
  <c r="D72" i="16" s="1"/>
  <c r="W72" i="16" s="1"/>
  <c r="D73" i="16" a="1"/>
  <c r="D73" i="16" s="1"/>
  <c r="W73" i="16" s="1"/>
  <c r="D74" i="16" a="1"/>
  <c r="D74" i="16" s="1"/>
  <c r="W74" i="16" s="1"/>
  <c r="D75" i="16" a="1"/>
  <c r="D75" i="16" s="1"/>
  <c r="W75" i="16" s="1"/>
  <c r="D76" i="16" a="1"/>
  <c r="D76" i="16" s="1"/>
  <c r="W76" i="16" s="1"/>
  <c r="D77" i="16" a="1"/>
  <c r="D77" i="16" s="1"/>
  <c r="W77" i="16" s="1"/>
  <c r="D81" i="16" a="1"/>
  <c r="D81" i="16" s="1"/>
  <c r="W81" i="16" s="1"/>
  <c r="D82" i="16" a="1"/>
  <c r="D82" i="16" s="1"/>
  <c r="W82" i="16" s="1"/>
  <c r="D83" i="16" a="1"/>
  <c r="D83" i="16" s="1"/>
  <c r="W83" i="16" s="1"/>
  <c r="D84" i="16" a="1"/>
  <c r="D84" i="16" s="1"/>
  <c r="W84" i="16" s="1"/>
  <c r="D85" i="16" a="1"/>
  <c r="D85" i="16" s="1"/>
  <c r="W85" i="16" s="1"/>
  <c r="D86" i="16" a="1"/>
  <c r="D86" i="16" s="1"/>
  <c r="W86" i="16" s="1"/>
  <c r="D87" i="16" a="1"/>
  <c r="D87" i="16" s="1"/>
  <c r="W87" i="16" s="1"/>
  <c r="D88" i="16" a="1"/>
  <c r="D88" i="16" s="1"/>
  <c r="W88" i="16" s="1"/>
  <c r="D89" i="16" a="1"/>
  <c r="D89" i="16" s="1"/>
  <c r="W89" i="16" s="1"/>
  <c r="D90" i="16" a="1"/>
  <c r="D90" i="16" s="1"/>
  <c r="W90" i="16" s="1"/>
  <c r="D91" i="16" a="1"/>
  <c r="D91" i="16" s="1"/>
  <c r="W91" i="16" s="1"/>
  <c r="D92" i="16" a="1"/>
  <c r="D92" i="16" s="1"/>
  <c r="W92" i="16" s="1"/>
  <c r="D93" i="16" a="1"/>
  <c r="D93" i="16" s="1"/>
  <c r="W93" i="16" s="1"/>
  <c r="D94" i="16" a="1"/>
  <c r="D94" i="16" s="1"/>
  <c r="W94" i="16" s="1"/>
  <c r="D95" i="16" a="1"/>
  <c r="D95" i="16" s="1"/>
  <c r="W95" i="16" s="1"/>
  <c r="D96" i="16" a="1"/>
  <c r="D96" i="16" s="1"/>
  <c r="W96" i="16" s="1"/>
  <c r="D97" i="16" a="1"/>
  <c r="D97" i="16" s="1"/>
  <c r="W97" i="16" s="1"/>
  <c r="D98" i="16" a="1"/>
  <c r="D98" i="16" s="1"/>
  <c r="W98" i="16" s="1"/>
  <c r="D99" i="16" a="1"/>
  <c r="D99" i="16" s="1"/>
  <c r="W99" i="16" s="1"/>
  <c r="D100" i="16" a="1"/>
  <c r="D100" i="16" s="1"/>
  <c r="W100" i="16" s="1"/>
  <c r="D101" i="16" a="1"/>
  <c r="D101" i="16" s="1"/>
  <c r="W101" i="16" s="1"/>
  <c r="D102" i="16" a="1"/>
  <c r="D102" i="16" s="1"/>
  <c r="W102" i="16" s="1"/>
  <c r="D103" i="16" a="1"/>
  <c r="D103" i="16" s="1"/>
  <c r="W103" i="16" s="1"/>
  <c r="D104" i="16" a="1"/>
  <c r="D104" i="16" s="1"/>
  <c r="W104" i="16" s="1"/>
  <c r="D105" i="16" a="1"/>
  <c r="D105" i="16" s="1"/>
  <c r="W105" i="16" s="1"/>
  <c r="D106" i="16" a="1"/>
  <c r="D106" i="16" s="1"/>
  <c r="W106" i="16" s="1"/>
  <c r="D107" i="16" a="1"/>
  <c r="D107" i="16" s="1"/>
  <c r="W107" i="16" s="1"/>
  <c r="D108" i="16" a="1"/>
  <c r="D108" i="16" s="1"/>
  <c r="W108" i="16" s="1"/>
  <c r="D109" i="16" a="1"/>
  <c r="D109" i="16" s="1"/>
  <c r="W109" i="16" s="1"/>
  <c r="D110" i="16" a="1"/>
  <c r="D110" i="16" s="1"/>
  <c r="W110" i="16" s="1"/>
  <c r="D111" i="16" a="1"/>
  <c r="D111" i="16" s="1"/>
  <c r="W111" i="16" s="1"/>
  <c r="D112" i="16" a="1"/>
  <c r="D112" i="16" s="1"/>
  <c r="W112" i="16" s="1"/>
  <c r="D113" i="16" a="1"/>
  <c r="D113" i="16" s="1"/>
  <c r="W113" i="16" s="1"/>
  <c r="D114" i="16" a="1"/>
  <c r="D114" i="16" s="1"/>
  <c r="W114" i="16" s="1"/>
  <c r="D115" i="16" a="1"/>
  <c r="D115" i="16" s="1"/>
  <c r="W115" i="16" s="1"/>
  <c r="D116" i="16" a="1"/>
  <c r="D116" i="16" s="1"/>
  <c r="W116" i="16" s="1"/>
  <c r="D117" i="16" a="1"/>
  <c r="D117" i="16" s="1"/>
  <c r="W117" i="16" s="1"/>
  <c r="D118" i="16" a="1"/>
  <c r="D118" i="16" s="1"/>
  <c r="W118" i="16" s="1"/>
  <c r="D119" i="16" a="1"/>
  <c r="D119" i="16" s="1"/>
  <c r="W119" i="16" s="1"/>
  <c r="D120" i="16" a="1"/>
  <c r="D120" i="16" s="1"/>
  <c r="W120" i="16" s="1"/>
  <c r="I82" i="14"/>
  <c r="A82" i="14"/>
  <c r="L109" i="10"/>
  <c r="F109" i="10"/>
  <c r="I83" i="14"/>
  <c r="I81" i="14"/>
  <c r="I80" i="14"/>
  <c r="I79" i="14"/>
  <c r="I75" i="14"/>
  <c r="I74" i="14"/>
  <c r="I73" i="14"/>
  <c r="I72" i="14"/>
  <c r="I71" i="14"/>
  <c r="I68" i="14"/>
  <c r="I67" i="14"/>
  <c r="I66" i="14"/>
  <c r="G6" i="14"/>
  <c r="C36" i="1"/>
  <c r="I68" i="1"/>
  <c r="E69" i="11"/>
  <c r="D69" i="11"/>
  <c r="E68" i="11"/>
  <c r="D68" i="11"/>
  <c r="E67" i="11"/>
  <c r="D67" i="11"/>
  <c r="E66" i="11"/>
  <c r="D66" i="11"/>
  <c r="E65" i="11"/>
  <c r="D65" i="11"/>
  <c r="I62" i="14"/>
  <c r="I61" i="14"/>
  <c r="I60" i="14"/>
  <c r="I59" i="14"/>
  <c r="I58" i="14"/>
  <c r="I57" i="14"/>
  <c r="I56" i="14"/>
  <c r="I55" i="14"/>
  <c r="I53" i="14"/>
  <c r="I52" i="14"/>
  <c r="I51" i="14"/>
  <c r="I50" i="14"/>
  <c r="I49" i="14"/>
  <c r="I45" i="14"/>
  <c r="I44" i="14"/>
  <c r="I43" i="14"/>
  <c r="I42" i="14"/>
  <c r="I41" i="14"/>
  <c r="I40" i="14"/>
  <c r="I39" i="14"/>
  <c r="I38" i="14"/>
  <c r="I34" i="14"/>
  <c r="I33" i="14"/>
  <c r="I32" i="14"/>
  <c r="I31" i="14"/>
  <c r="I30" i="14"/>
  <c r="I29" i="14"/>
  <c r="I28" i="14"/>
  <c r="I26" i="14"/>
  <c r="I25" i="14"/>
  <c r="I24" i="14"/>
  <c r="I23" i="14"/>
  <c r="I22" i="14"/>
  <c r="I21" i="14"/>
  <c r="I17" i="14"/>
  <c r="I16" i="14"/>
  <c r="I15" i="14"/>
  <c r="I14" i="14"/>
  <c r="I10" i="14"/>
  <c r="I9" i="14"/>
  <c r="E84" i="14"/>
  <c r="E76" i="14"/>
  <c r="E46" i="14"/>
  <c r="E35" i="14"/>
  <c r="E18" i="14"/>
  <c r="E11" i="14"/>
  <c r="G84" i="14"/>
  <c r="G76" i="14"/>
  <c r="G63" i="14"/>
  <c r="G35" i="14"/>
  <c r="G18" i="14"/>
  <c r="G11" i="14"/>
  <c r="H111" i="10"/>
  <c r="G111" i="10"/>
  <c r="H89" i="10"/>
  <c r="G89" i="10"/>
  <c r="H63" i="10"/>
  <c r="G63" i="10"/>
  <c r="H46" i="10"/>
  <c r="G46" i="10"/>
  <c r="E11" i="10"/>
  <c r="G11" i="10"/>
  <c r="J35" i="10"/>
  <c r="H35" i="10"/>
  <c r="G35" i="10"/>
  <c r="H18" i="10"/>
  <c r="G18" i="10"/>
  <c r="H11" i="10"/>
  <c r="F85" i="10"/>
  <c r="L85" i="10"/>
  <c r="F10" i="10"/>
  <c r="W29" i="17"/>
  <c r="V30" i="17"/>
  <c r="W30" i="17"/>
  <c r="X30" i="17"/>
  <c r="Y30" i="17"/>
  <c r="V31" i="17"/>
  <c r="W31" i="17"/>
  <c r="X31" i="17"/>
  <c r="Y31" i="17"/>
  <c r="V32" i="17"/>
  <c r="W32" i="17"/>
  <c r="X32" i="17"/>
  <c r="Y32" i="17"/>
  <c r="V33" i="17"/>
  <c r="W33" i="17"/>
  <c r="X33" i="17"/>
  <c r="Y33" i="17"/>
  <c r="V34" i="17"/>
  <c r="W34" i="17"/>
  <c r="X34" i="17"/>
  <c r="Y34" i="17"/>
  <c r="V35" i="17"/>
  <c r="W35" i="17"/>
  <c r="X35" i="17"/>
  <c r="Y35" i="17"/>
  <c r="V36" i="17"/>
  <c r="W36" i="17"/>
  <c r="X36" i="17"/>
  <c r="Y36" i="17"/>
  <c r="V37" i="17"/>
  <c r="W37" i="17"/>
  <c r="X37" i="17"/>
  <c r="Y37" i="17"/>
  <c r="V38" i="17"/>
  <c r="W38" i="17"/>
  <c r="X38" i="17"/>
  <c r="Y38" i="17"/>
  <c r="V39" i="17"/>
  <c r="W39" i="17"/>
  <c r="X39" i="17"/>
  <c r="Y39" i="17"/>
  <c r="V40" i="17"/>
  <c r="W40" i="17"/>
  <c r="X40" i="17"/>
  <c r="Y40" i="17"/>
  <c r="V41" i="17"/>
  <c r="W41" i="17"/>
  <c r="X41" i="17"/>
  <c r="Y41" i="17"/>
  <c r="V42" i="17"/>
  <c r="W42" i="17"/>
  <c r="X42" i="17"/>
  <c r="Y42" i="17"/>
  <c r="V43" i="17"/>
  <c r="W43" i="17"/>
  <c r="X43" i="17"/>
  <c r="Y43" i="17"/>
  <c r="V44" i="17"/>
  <c r="W44" i="17"/>
  <c r="X44" i="17"/>
  <c r="Y44" i="17"/>
  <c r="V45" i="17"/>
  <c r="W45" i="17"/>
  <c r="X45" i="17"/>
  <c r="Y45" i="17"/>
  <c r="V46" i="17"/>
  <c r="W46" i="17"/>
  <c r="X46" i="17"/>
  <c r="Y46" i="17"/>
  <c r="V47" i="17"/>
  <c r="W47" i="17"/>
  <c r="X47" i="17"/>
  <c r="Y47" i="17"/>
  <c r="V48" i="17"/>
  <c r="W48" i="17"/>
  <c r="X48" i="17"/>
  <c r="Y48" i="17"/>
  <c r="V49" i="17"/>
  <c r="W49" i="17"/>
  <c r="X49" i="17"/>
  <c r="Y49" i="17"/>
  <c r="V50" i="17"/>
  <c r="W50" i="17"/>
  <c r="X50" i="17"/>
  <c r="Y50" i="17"/>
  <c r="V51" i="17"/>
  <c r="W51" i="17"/>
  <c r="X51" i="17"/>
  <c r="Y51" i="17"/>
  <c r="V52" i="17"/>
  <c r="W52" i="17"/>
  <c r="X52" i="17"/>
  <c r="Y52" i="17"/>
  <c r="V53" i="17"/>
  <c r="W53" i="17"/>
  <c r="X53" i="17"/>
  <c r="Y53" i="17"/>
  <c r="V54" i="17"/>
  <c r="W54" i="17"/>
  <c r="X54" i="17"/>
  <c r="Y54" i="17"/>
  <c r="V55" i="17"/>
  <c r="W55" i="17"/>
  <c r="X55" i="17"/>
  <c r="Y55" i="17"/>
  <c r="V56" i="17"/>
  <c r="W56" i="17"/>
  <c r="X56" i="17"/>
  <c r="Y56" i="17"/>
  <c r="V57" i="17"/>
  <c r="W57" i="17"/>
  <c r="X57" i="17"/>
  <c r="Y57" i="17"/>
  <c r="V58" i="17"/>
  <c r="W58" i="17"/>
  <c r="X58" i="17"/>
  <c r="Y58" i="17"/>
  <c r="V59" i="17"/>
  <c r="W59" i="17"/>
  <c r="X59" i="17"/>
  <c r="Y59" i="17"/>
  <c r="V60" i="17"/>
  <c r="W60" i="17"/>
  <c r="X60" i="17"/>
  <c r="Y60" i="17"/>
  <c r="V61" i="17"/>
  <c r="W61" i="17"/>
  <c r="X61" i="17"/>
  <c r="Y61" i="17"/>
  <c r="V62" i="17"/>
  <c r="W62" i="17"/>
  <c r="X62" i="17"/>
  <c r="Y62" i="17"/>
  <c r="V63" i="17"/>
  <c r="W63" i="17"/>
  <c r="X63" i="17"/>
  <c r="Y63" i="17"/>
  <c r="V64" i="17"/>
  <c r="W64" i="17"/>
  <c r="X64" i="17"/>
  <c r="Y64" i="17"/>
  <c r="V65" i="17"/>
  <c r="W65" i="17"/>
  <c r="X65" i="17"/>
  <c r="Y65" i="17"/>
  <c r="V69" i="17"/>
  <c r="W69" i="17"/>
  <c r="X69" i="17"/>
  <c r="Y69" i="17"/>
  <c r="V70" i="17"/>
  <c r="W70" i="17"/>
  <c r="X70" i="17"/>
  <c r="Y70" i="17"/>
  <c r="V71" i="17"/>
  <c r="W71" i="17"/>
  <c r="X71" i="17"/>
  <c r="Y71" i="17"/>
  <c r="V72" i="17"/>
  <c r="W72" i="17"/>
  <c r="X72" i="17"/>
  <c r="Y72" i="17"/>
  <c r="V73" i="17"/>
  <c r="W73" i="17"/>
  <c r="X73" i="17"/>
  <c r="Y73" i="17"/>
  <c r="V74" i="17"/>
  <c r="W74" i="17"/>
  <c r="X74" i="17"/>
  <c r="Y74" i="17"/>
  <c r="V75" i="17"/>
  <c r="W75" i="17"/>
  <c r="X75" i="17"/>
  <c r="Y75" i="17"/>
  <c r="V76" i="17"/>
  <c r="W76" i="17"/>
  <c r="X76" i="17"/>
  <c r="Y76" i="17"/>
  <c r="V77" i="17"/>
  <c r="W77" i="17"/>
  <c r="X77" i="17"/>
  <c r="Y77" i="17"/>
  <c r="V78" i="17"/>
  <c r="W78" i="17"/>
  <c r="X78" i="17"/>
  <c r="Y78" i="17"/>
  <c r="V79" i="17"/>
  <c r="W79" i="17"/>
  <c r="X79" i="17"/>
  <c r="Y79" i="17"/>
  <c r="V80" i="17"/>
  <c r="W80" i="17"/>
  <c r="X80" i="17"/>
  <c r="Y80" i="17"/>
  <c r="V81" i="17"/>
  <c r="W81" i="17"/>
  <c r="X81" i="17"/>
  <c r="Y81" i="17"/>
  <c r="V82" i="17"/>
  <c r="W82" i="17"/>
  <c r="X82" i="17"/>
  <c r="Y82" i="17"/>
  <c r="V83" i="17"/>
  <c r="W83" i="17"/>
  <c r="X83" i="17"/>
  <c r="Y83" i="17"/>
  <c r="V84" i="17"/>
  <c r="W84" i="17"/>
  <c r="X84" i="17"/>
  <c r="Y84" i="17"/>
  <c r="V85" i="17"/>
  <c r="W85" i="17"/>
  <c r="X85" i="17"/>
  <c r="Y85" i="17"/>
  <c r="V86" i="17"/>
  <c r="W86" i="17"/>
  <c r="X86" i="17"/>
  <c r="Y86" i="17"/>
  <c r="V87" i="17"/>
  <c r="W87" i="17"/>
  <c r="X87" i="17"/>
  <c r="Y87" i="17"/>
  <c r="V88" i="17"/>
  <c r="W88" i="17"/>
  <c r="X88" i="17"/>
  <c r="Y88" i="17"/>
  <c r="V89" i="17"/>
  <c r="W89" i="17"/>
  <c r="X89" i="17"/>
  <c r="Y89" i="17"/>
  <c r="V90" i="17"/>
  <c r="W90" i="17"/>
  <c r="X90" i="17"/>
  <c r="Y90" i="17"/>
  <c r="V91" i="17"/>
  <c r="W91" i="17"/>
  <c r="X91" i="17"/>
  <c r="Y91" i="17"/>
  <c r="V92" i="17"/>
  <c r="W92" i="17"/>
  <c r="X92" i="17"/>
  <c r="Y92" i="17"/>
  <c r="V93" i="17"/>
  <c r="W93" i="17"/>
  <c r="X93" i="17"/>
  <c r="Y93" i="17"/>
  <c r="V94" i="17"/>
  <c r="W94" i="17"/>
  <c r="X94" i="17"/>
  <c r="Y94" i="17"/>
  <c r="V95" i="17"/>
  <c r="W95" i="17"/>
  <c r="X95" i="17"/>
  <c r="Y95" i="17"/>
  <c r="V96" i="17"/>
  <c r="W96" i="17"/>
  <c r="X96" i="17"/>
  <c r="Y96" i="17"/>
  <c r="V97" i="17"/>
  <c r="W97" i="17"/>
  <c r="X97" i="17"/>
  <c r="Y97" i="17"/>
  <c r="V98" i="17"/>
  <c r="W98" i="17"/>
  <c r="X98" i="17"/>
  <c r="Y98" i="17"/>
  <c r="V99" i="17"/>
  <c r="W99" i="17"/>
  <c r="X99" i="17"/>
  <c r="Y99" i="17"/>
  <c r="V100" i="17"/>
  <c r="W100" i="17"/>
  <c r="X100" i="17"/>
  <c r="Y100" i="17"/>
  <c r="V101" i="17"/>
  <c r="W101" i="17"/>
  <c r="X101" i="17"/>
  <c r="Y101" i="17"/>
  <c r="V102" i="17"/>
  <c r="W102" i="17"/>
  <c r="X102" i="17"/>
  <c r="Y102" i="17"/>
  <c r="V103" i="17"/>
  <c r="W103" i="17"/>
  <c r="X103" i="17"/>
  <c r="Y103" i="17"/>
  <c r="V104" i="17"/>
  <c r="W104" i="17"/>
  <c r="X104" i="17"/>
  <c r="Y104" i="17"/>
  <c r="V105" i="17"/>
  <c r="W105" i="17"/>
  <c r="X105" i="17"/>
  <c r="Y105" i="17"/>
  <c r="V106" i="17"/>
  <c r="W106" i="17"/>
  <c r="X106" i="17"/>
  <c r="Y106" i="17"/>
  <c r="V107" i="17"/>
  <c r="W107" i="17"/>
  <c r="X107" i="17"/>
  <c r="Y107" i="17"/>
  <c r="V108" i="17"/>
  <c r="W108" i="17"/>
  <c r="X108" i="17"/>
  <c r="Y108" i="17"/>
  <c r="AC113" i="17"/>
  <c r="K26" i="17"/>
  <c r="A7" i="17"/>
  <c r="M4" i="17"/>
  <c r="J4" i="17"/>
  <c r="C4" i="17"/>
  <c r="L3" i="17"/>
  <c r="C3" i="17"/>
  <c r="C2" i="17"/>
  <c r="V39" i="16"/>
  <c r="V40" i="16"/>
  <c r="U41" i="16"/>
  <c r="V41" i="16"/>
  <c r="U42" i="16"/>
  <c r="V42" i="16"/>
  <c r="U43" i="16"/>
  <c r="V43" i="16"/>
  <c r="U44" i="16"/>
  <c r="V44" i="16"/>
  <c r="U45" i="16"/>
  <c r="V45" i="16"/>
  <c r="U46" i="16"/>
  <c r="V46" i="16"/>
  <c r="U47" i="16"/>
  <c r="V47" i="16"/>
  <c r="U48" i="16"/>
  <c r="V48" i="16"/>
  <c r="U49" i="16"/>
  <c r="V49" i="16"/>
  <c r="U50" i="16"/>
  <c r="V50" i="16"/>
  <c r="U51" i="16"/>
  <c r="V51" i="16"/>
  <c r="U52" i="16"/>
  <c r="V52" i="16"/>
  <c r="U53" i="16"/>
  <c r="V53" i="16"/>
  <c r="U54" i="16"/>
  <c r="V54" i="16"/>
  <c r="U55" i="16"/>
  <c r="V55" i="16"/>
  <c r="U56" i="16"/>
  <c r="V56" i="16"/>
  <c r="U57" i="16"/>
  <c r="V57" i="16"/>
  <c r="U58" i="16"/>
  <c r="V58" i="16"/>
  <c r="U59" i="16"/>
  <c r="V59" i="16"/>
  <c r="U60" i="16"/>
  <c r="V60" i="16"/>
  <c r="U61" i="16"/>
  <c r="V61" i="16"/>
  <c r="U62" i="16"/>
  <c r="V62" i="16"/>
  <c r="U63" i="16"/>
  <c r="V63" i="16"/>
  <c r="U64" i="16"/>
  <c r="V64" i="16"/>
  <c r="U65" i="16"/>
  <c r="V65" i="16"/>
  <c r="U66" i="16"/>
  <c r="V66" i="16"/>
  <c r="U67" i="16"/>
  <c r="V67" i="16"/>
  <c r="U68" i="16"/>
  <c r="V68" i="16"/>
  <c r="U69" i="16"/>
  <c r="V69" i="16"/>
  <c r="U70" i="16"/>
  <c r="V70" i="16"/>
  <c r="U71" i="16"/>
  <c r="V71" i="16"/>
  <c r="U72" i="16"/>
  <c r="V72" i="16"/>
  <c r="U73" i="16"/>
  <c r="V73" i="16"/>
  <c r="U74" i="16"/>
  <c r="V74" i="16"/>
  <c r="U75" i="16"/>
  <c r="V75" i="16"/>
  <c r="U76" i="16"/>
  <c r="V76" i="16"/>
  <c r="U77" i="16"/>
  <c r="V77" i="16"/>
  <c r="U81" i="16"/>
  <c r="V81" i="16"/>
  <c r="U82" i="16"/>
  <c r="V82" i="16"/>
  <c r="U83" i="16"/>
  <c r="V83" i="16"/>
  <c r="U84" i="16"/>
  <c r="V84" i="16"/>
  <c r="U85" i="16"/>
  <c r="V85" i="16"/>
  <c r="U86" i="16"/>
  <c r="V86" i="16"/>
  <c r="U87" i="16"/>
  <c r="V87" i="16"/>
  <c r="U88" i="16"/>
  <c r="V88" i="16"/>
  <c r="U89" i="16"/>
  <c r="V89" i="16"/>
  <c r="U90" i="16"/>
  <c r="V90" i="16"/>
  <c r="U91" i="16"/>
  <c r="V91" i="16"/>
  <c r="U92" i="16"/>
  <c r="V92" i="16"/>
  <c r="U93" i="16"/>
  <c r="V93" i="16"/>
  <c r="U94" i="16"/>
  <c r="V94" i="16"/>
  <c r="U95" i="16"/>
  <c r="V95" i="16"/>
  <c r="U96" i="16"/>
  <c r="V96" i="16"/>
  <c r="U97" i="16"/>
  <c r="V97" i="16"/>
  <c r="U98" i="16"/>
  <c r="V98" i="16"/>
  <c r="U99" i="16"/>
  <c r="V99" i="16"/>
  <c r="U100" i="16"/>
  <c r="V100" i="16"/>
  <c r="U101" i="16"/>
  <c r="V101" i="16"/>
  <c r="U102" i="16"/>
  <c r="V102" i="16"/>
  <c r="U103" i="16"/>
  <c r="V103" i="16"/>
  <c r="U104" i="16"/>
  <c r="V104" i="16"/>
  <c r="U105" i="16"/>
  <c r="V105" i="16"/>
  <c r="U106" i="16"/>
  <c r="V106" i="16"/>
  <c r="U107" i="16"/>
  <c r="V107" i="16"/>
  <c r="U108" i="16"/>
  <c r="V108" i="16"/>
  <c r="U109" i="16"/>
  <c r="V109" i="16"/>
  <c r="U110" i="16"/>
  <c r="V110" i="16"/>
  <c r="U111" i="16"/>
  <c r="V111" i="16"/>
  <c r="U112" i="16"/>
  <c r="V112" i="16"/>
  <c r="U113" i="16"/>
  <c r="V113" i="16"/>
  <c r="U114" i="16"/>
  <c r="V114" i="16"/>
  <c r="U115" i="16"/>
  <c r="V115" i="16"/>
  <c r="U116" i="16"/>
  <c r="V116" i="16"/>
  <c r="U117" i="16"/>
  <c r="V117" i="16"/>
  <c r="U118" i="16"/>
  <c r="V118" i="16"/>
  <c r="U119" i="16"/>
  <c r="V119" i="16"/>
  <c r="U120" i="16"/>
  <c r="V120" i="16"/>
  <c r="V38" i="16"/>
  <c r="A7" i="16"/>
  <c r="V127" i="16"/>
  <c r="U39" i="16" s="1"/>
  <c r="I46" i="1"/>
  <c r="M4" i="16"/>
  <c r="J4" i="16"/>
  <c r="C4" i="16"/>
  <c r="L3" i="16"/>
  <c r="C3" i="16"/>
  <c r="C2" i="16"/>
  <c r="D102" i="1"/>
  <c r="G253" i="15"/>
  <c r="G202" i="15"/>
  <c r="A228" i="15"/>
  <c r="B228" i="15"/>
  <c r="C228" i="15"/>
  <c r="D228" i="15"/>
  <c r="E228" i="15"/>
  <c r="F228" i="15"/>
  <c r="A229" i="15"/>
  <c r="B229" i="15"/>
  <c r="C229" i="15"/>
  <c r="D229" i="15"/>
  <c r="E229" i="15"/>
  <c r="F229" i="15"/>
  <c r="I229" i="15" s="1"/>
  <c r="K229" i="15" s="1"/>
  <c r="A230" i="15"/>
  <c r="B230" i="15"/>
  <c r="C230" i="15"/>
  <c r="D230" i="15"/>
  <c r="E230" i="15"/>
  <c r="F230" i="15"/>
  <c r="I230" i="15" s="1"/>
  <c r="K230" i="15" s="1"/>
  <c r="A231" i="15"/>
  <c r="B231" i="15"/>
  <c r="C231" i="15"/>
  <c r="D231" i="15"/>
  <c r="E231" i="15"/>
  <c r="F231" i="15"/>
  <c r="I231" i="15" s="1"/>
  <c r="K231" i="15" s="1"/>
  <c r="A232" i="15"/>
  <c r="B232" i="15"/>
  <c r="C232" i="15"/>
  <c r="D232" i="15"/>
  <c r="E232" i="15"/>
  <c r="F232" i="15"/>
  <c r="I232" i="15" s="1"/>
  <c r="K232" i="15" s="1"/>
  <c r="A233" i="15"/>
  <c r="B233" i="15"/>
  <c r="C233" i="15"/>
  <c r="D233" i="15"/>
  <c r="E233" i="15"/>
  <c r="F233" i="15"/>
  <c r="I233" i="15" s="1"/>
  <c r="K233" i="15" s="1"/>
  <c r="A234" i="15"/>
  <c r="B234" i="15"/>
  <c r="C234" i="15"/>
  <c r="D234" i="15"/>
  <c r="E234" i="15"/>
  <c r="F234" i="15"/>
  <c r="I234" i="15" s="1"/>
  <c r="K234" i="15" s="1"/>
  <c r="A235" i="15"/>
  <c r="B235" i="15"/>
  <c r="C235" i="15"/>
  <c r="D235" i="15"/>
  <c r="E235" i="15"/>
  <c r="F235" i="15"/>
  <c r="I235" i="15" s="1"/>
  <c r="K235" i="15" s="1"/>
  <c r="A236" i="15"/>
  <c r="B236" i="15"/>
  <c r="C236" i="15"/>
  <c r="D236" i="15"/>
  <c r="E236" i="15"/>
  <c r="F236" i="15"/>
  <c r="I236" i="15" s="1"/>
  <c r="K236" i="15" s="1"/>
  <c r="A237" i="15"/>
  <c r="B237" i="15"/>
  <c r="C237" i="15"/>
  <c r="D237" i="15"/>
  <c r="E237" i="15"/>
  <c r="F237" i="15"/>
  <c r="I237" i="15" s="1"/>
  <c r="K237" i="15" s="1"/>
  <c r="A238" i="15"/>
  <c r="B238" i="15"/>
  <c r="C238" i="15"/>
  <c r="D238" i="15"/>
  <c r="E238" i="15"/>
  <c r="F238" i="15"/>
  <c r="I238" i="15" s="1"/>
  <c r="K238" i="15" s="1"/>
  <c r="A239" i="15"/>
  <c r="B239" i="15"/>
  <c r="C239" i="15"/>
  <c r="D239" i="15"/>
  <c r="E239" i="15"/>
  <c r="F239" i="15"/>
  <c r="I239" i="15" s="1"/>
  <c r="K239" i="15" s="1"/>
  <c r="A240" i="15"/>
  <c r="B240" i="15"/>
  <c r="C240" i="15"/>
  <c r="D240" i="15"/>
  <c r="E240" i="15"/>
  <c r="F240" i="15"/>
  <c r="I240" i="15" s="1"/>
  <c r="K240" i="15" s="1"/>
  <c r="A241" i="15"/>
  <c r="B241" i="15"/>
  <c r="C241" i="15"/>
  <c r="D241" i="15"/>
  <c r="E241" i="15"/>
  <c r="F241" i="15"/>
  <c r="I241" i="15" s="1"/>
  <c r="K241" i="15" s="1"/>
  <c r="A242" i="15"/>
  <c r="B242" i="15"/>
  <c r="C242" i="15"/>
  <c r="D242" i="15"/>
  <c r="E242" i="15"/>
  <c r="F242" i="15"/>
  <c r="I242" i="15" s="1"/>
  <c r="K242" i="15" s="1"/>
  <c r="A243" i="15"/>
  <c r="B243" i="15"/>
  <c r="C243" i="15"/>
  <c r="D243" i="15"/>
  <c r="E243" i="15"/>
  <c r="F243" i="15"/>
  <c r="I243" i="15" s="1"/>
  <c r="K243" i="15" s="1"/>
  <c r="A244" i="15"/>
  <c r="B244" i="15"/>
  <c r="C244" i="15"/>
  <c r="D244" i="15"/>
  <c r="E244" i="15"/>
  <c r="F244" i="15"/>
  <c r="I244" i="15" s="1"/>
  <c r="K244" i="15" s="1"/>
  <c r="A245" i="15"/>
  <c r="B245" i="15"/>
  <c r="C245" i="15"/>
  <c r="D245" i="15"/>
  <c r="E245" i="15"/>
  <c r="F245" i="15"/>
  <c r="I245" i="15" s="1"/>
  <c r="K245" i="15" s="1"/>
  <c r="A246" i="15"/>
  <c r="B246" i="15"/>
  <c r="C246" i="15"/>
  <c r="D246" i="15"/>
  <c r="E246" i="15"/>
  <c r="F246" i="15"/>
  <c r="I246" i="15" s="1"/>
  <c r="K246" i="15" s="1"/>
  <c r="A247" i="15"/>
  <c r="B247" i="15"/>
  <c r="C247" i="15"/>
  <c r="D247" i="15"/>
  <c r="E247" i="15"/>
  <c r="F247" i="15"/>
  <c r="I247" i="15" s="1"/>
  <c r="K247" i="15" s="1"/>
  <c r="A248" i="15"/>
  <c r="B248" i="15"/>
  <c r="C248" i="15"/>
  <c r="D248" i="15"/>
  <c r="E248" i="15"/>
  <c r="F248" i="15"/>
  <c r="I248" i="15" s="1"/>
  <c r="K248" i="15" s="1"/>
  <c r="A249" i="15"/>
  <c r="B249" i="15"/>
  <c r="C249" i="15"/>
  <c r="D249" i="15"/>
  <c r="E249" i="15"/>
  <c r="F249" i="15"/>
  <c r="I249" i="15" s="1"/>
  <c r="K249" i="15" s="1"/>
  <c r="A250" i="15"/>
  <c r="B250" i="15"/>
  <c r="C250" i="15"/>
  <c r="D250" i="15"/>
  <c r="E250" i="15"/>
  <c r="F250" i="15"/>
  <c r="I250" i="15" s="1"/>
  <c r="K250" i="15" s="1"/>
  <c r="A251" i="15"/>
  <c r="B251" i="15"/>
  <c r="C251" i="15"/>
  <c r="D251" i="15"/>
  <c r="E251" i="15"/>
  <c r="F251" i="15"/>
  <c r="I251" i="15" s="1"/>
  <c r="K251" i="15" s="1"/>
  <c r="A252" i="15"/>
  <c r="B252" i="15"/>
  <c r="C252" i="15"/>
  <c r="D252" i="15"/>
  <c r="E252" i="15"/>
  <c r="F252" i="15"/>
  <c r="I252" i="15" s="1"/>
  <c r="K252" i="15" s="1"/>
  <c r="F227" i="15"/>
  <c r="E227" i="15"/>
  <c r="D227" i="15"/>
  <c r="C227" i="15"/>
  <c r="B227" i="15"/>
  <c r="A227" i="15"/>
  <c r="B177" i="15"/>
  <c r="I177" i="15" s="1"/>
  <c r="C177" i="15"/>
  <c r="D177" i="15"/>
  <c r="E177" i="15"/>
  <c r="F177" i="15"/>
  <c r="B178" i="15"/>
  <c r="C178" i="15"/>
  <c r="D178" i="15"/>
  <c r="E178" i="15"/>
  <c r="F178" i="15"/>
  <c r="B179" i="15"/>
  <c r="I179" i="15"/>
  <c r="C179" i="15"/>
  <c r="D179" i="15"/>
  <c r="E179" i="15"/>
  <c r="F179" i="15"/>
  <c r="B180" i="15"/>
  <c r="I180" i="15" s="1"/>
  <c r="C180" i="15"/>
  <c r="D180" i="15"/>
  <c r="E180" i="15"/>
  <c r="F180" i="15"/>
  <c r="B181" i="15"/>
  <c r="I181" i="15" s="1"/>
  <c r="C181" i="15"/>
  <c r="D181" i="15"/>
  <c r="E181" i="15"/>
  <c r="F181" i="15"/>
  <c r="B182" i="15"/>
  <c r="I182" i="15" s="1"/>
  <c r="C182" i="15"/>
  <c r="D182" i="15"/>
  <c r="E182" i="15"/>
  <c r="F182" i="15"/>
  <c r="B183" i="15"/>
  <c r="I183" i="15"/>
  <c r="C183" i="15"/>
  <c r="D183" i="15"/>
  <c r="E183" i="15"/>
  <c r="F183" i="15"/>
  <c r="B184" i="15"/>
  <c r="I184" i="15" s="1"/>
  <c r="C184" i="15"/>
  <c r="D184" i="15"/>
  <c r="E184" i="15"/>
  <c r="F184" i="15"/>
  <c r="B185" i="15"/>
  <c r="I185" i="15" s="1"/>
  <c r="C185" i="15"/>
  <c r="D185" i="15"/>
  <c r="E185" i="15"/>
  <c r="F185" i="15"/>
  <c r="B186" i="15"/>
  <c r="I186" i="15" s="1"/>
  <c r="C186" i="15"/>
  <c r="D186" i="15"/>
  <c r="E186" i="15"/>
  <c r="F186" i="15"/>
  <c r="B187" i="15"/>
  <c r="I187" i="15" s="1"/>
  <c r="C187" i="15"/>
  <c r="D187" i="15"/>
  <c r="E187" i="15"/>
  <c r="F187" i="15"/>
  <c r="B188" i="15"/>
  <c r="I188" i="15" s="1"/>
  <c r="C188" i="15"/>
  <c r="D188" i="15"/>
  <c r="E188" i="15"/>
  <c r="F188" i="15"/>
  <c r="B189" i="15"/>
  <c r="I189" i="15" s="1"/>
  <c r="C189" i="15"/>
  <c r="D189" i="15"/>
  <c r="E189" i="15"/>
  <c r="F189" i="15"/>
  <c r="B190" i="15"/>
  <c r="I190" i="15" s="1"/>
  <c r="C190" i="15"/>
  <c r="D190" i="15"/>
  <c r="E190" i="15"/>
  <c r="F190" i="15"/>
  <c r="B191" i="15"/>
  <c r="I191" i="15" s="1"/>
  <c r="C191" i="15"/>
  <c r="D191" i="15"/>
  <c r="E191" i="15"/>
  <c r="F191" i="15"/>
  <c r="B192" i="15"/>
  <c r="I192" i="15" s="1"/>
  <c r="C192" i="15"/>
  <c r="D192" i="15"/>
  <c r="E192" i="15"/>
  <c r="F192" i="15"/>
  <c r="B193" i="15"/>
  <c r="I193" i="15" s="1"/>
  <c r="C193" i="15"/>
  <c r="D193" i="15"/>
  <c r="E193" i="15"/>
  <c r="F193" i="15"/>
  <c r="B194" i="15"/>
  <c r="I194" i="15" s="1"/>
  <c r="C194" i="15"/>
  <c r="D194" i="15"/>
  <c r="E194" i="15"/>
  <c r="F194" i="15"/>
  <c r="B195" i="15"/>
  <c r="I195" i="15" s="1"/>
  <c r="C195" i="15"/>
  <c r="D195" i="15"/>
  <c r="E195" i="15"/>
  <c r="F195" i="15"/>
  <c r="B196" i="15"/>
  <c r="I196" i="15"/>
  <c r="C196" i="15"/>
  <c r="D196" i="15"/>
  <c r="E196" i="15"/>
  <c r="F196" i="15"/>
  <c r="B197" i="15"/>
  <c r="I197" i="15"/>
  <c r="C197" i="15"/>
  <c r="D197" i="15"/>
  <c r="E197" i="15"/>
  <c r="F197" i="15"/>
  <c r="B198" i="15"/>
  <c r="I198" i="15" s="1"/>
  <c r="C198" i="15"/>
  <c r="D198" i="15"/>
  <c r="E198" i="15"/>
  <c r="F198" i="15"/>
  <c r="B199" i="15"/>
  <c r="I199" i="15"/>
  <c r="C199" i="15"/>
  <c r="D199" i="15"/>
  <c r="E199" i="15"/>
  <c r="F199" i="15"/>
  <c r="B200" i="15"/>
  <c r="I200" i="15" s="1"/>
  <c r="C200" i="15"/>
  <c r="D200" i="15"/>
  <c r="E200" i="15"/>
  <c r="F200" i="15"/>
  <c r="B201" i="15"/>
  <c r="I201" i="15" s="1"/>
  <c r="C201" i="15"/>
  <c r="D201" i="15"/>
  <c r="E201" i="15"/>
  <c r="F201" i="15"/>
  <c r="C176" i="15"/>
  <c r="D176" i="15"/>
  <c r="E176" i="15"/>
  <c r="F176" i="15"/>
  <c r="B176" i="15"/>
  <c r="I176" i="15" s="1"/>
  <c r="I178" i="15"/>
  <c r="A199" i="15"/>
  <c r="A200" i="15"/>
  <c r="A201" i="15"/>
  <c r="A177" i="15"/>
  <c r="A178" i="15"/>
  <c r="A179" i="15"/>
  <c r="A180" i="15"/>
  <c r="A181" i="15"/>
  <c r="A182" i="15"/>
  <c r="A183" i="15"/>
  <c r="A184" i="15"/>
  <c r="A185" i="15"/>
  <c r="A186" i="15"/>
  <c r="A187" i="15"/>
  <c r="A188" i="15"/>
  <c r="A189" i="15"/>
  <c r="A190" i="15"/>
  <c r="A191" i="15"/>
  <c r="A192" i="15"/>
  <c r="A193" i="15"/>
  <c r="A194" i="15"/>
  <c r="A195" i="15"/>
  <c r="A196" i="15"/>
  <c r="A197" i="15"/>
  <c r="A198" i="15"/>
  <c r="A176" i="15"/>
  <c r="A129" i="15"/>
  <c r="A130" i="15"/>
  <c r="A131" i="15"/>
  <c r="A132" i="15"/>
  <c r="A133" i="15"/>
  <c r="A134" i="15"/>
  <c r="A135" i="15"/>
  <c r="A136" i="15"/>
  <c r="A137" i="15"/>
  <c r="A138" i="15"/>
  <c r="A139" i="15"/>
  <c r="A140" i="15"/>
  <c r="A141" i="15"/>
  <c r="A142" i="15"/>
  <c r="A143" i="15"/>
  <c r="A144" i="15"/>
  <c r="A145" i="15"/>
  <c r="A146" i="15"/>
  <c r="A147" i="15"/>
  <c r="A148" i="15"/>
  <c r="A149" i="15"/>
  <c r="A150" i="15"/>
  <c r="A151" i="15"/>
  <c r="A152" i="15"/>
  <c r="A153" i="15"/>
  <c r="A128" i="15"/>
  <c r="B129" i="15"/>
  <c r="C129" i="15"/>
  <c r="D129" i="15"/>
  <c r="E129" i="15"/>
  <c r="F129" i="15"/>
  <c r="B130" i="15"/>
  <c r="C130" i="15"/>
  <c r="D130" i="15"/>
  <c r="E130" i="15"/>
  <c r="F130" i="15"/>
  <c r="I130" i="15" s="1"/>
  <c r="B131" i="15"/>
  <c r="C131" i="15"/>
  <c r="D131" i="15"/>
  <c r="E131" i="15"/>
  <c r="F131" i="15"/>
  <c r="I131" i="15" s="1"/>
  <c r="B132" i="15"/>
  <c r="C132" i="15"/>
  <c r="D132" i="15"/>
  <c r="E132" i="15"/>
  <c r="F132" i="15"/>
  <c r="I132" i="15" s="1"/>
  <c r="B133" i="15"/>
  <c r="C133" i="15"/>
  <c r="D133" i="15"/>
  <c r="E133" i="15"/>
  <c r="F133" i="15"/>
  <c r="I133" i="15" s="1"/>
  <c r="B134" i="15"/>
  <c r="C134" i="15"/>
  <c r="D134" i="15"/>
  <c r="E134" i="15"/>
  <c r="F134" i="15"/>
  <c r="I134" i="15" s="1"/>
  <c r="B135" i="15"/>
  <c r="C135" i="15"/>
  <c r="D135" i="15"/>
  <c r="E135" i="15"/>
  <c r="F135" i="15"/>
  <c r="I135" i="15" s="1"/>
  <c r="B136" i="15"/>
  <c r="C136" i="15"/>
  <c r="D136" i="15"/>
  <c r="E136" i="15"/>
  <c r="F136" i="15"/>
  <c r="I136" i="15" s="1"/>
  <c r="B137" i="15"/>
  <c r="C137" i="15"/>
  <c r="D137" i="15"/>
  <c r="E137" i="15"/>
  <c r="F137" i="15"/>
  <c r="I137" i="15" s="1"/>
  <c r="B138" i="15"/>
  <c r="C138" i="15"/>
  <c r="D138" i="15"/>
  <c r="E138" i="15"/>
  <c r="F138" i="15"/>
  <c r="I138" i="15" s="1"/>
  <c r="B139" i="15"/>
  <c r="C139" i="15"/>
  <c r="D139" i="15"/>
  <c r="E139" i="15"/>
  <c r="F139" i="15"/>
  <c r="I139" i="15" s="1"/>
  <c r="B140" i="15"/>
  <c r="C140" i="15"/>
  <c r="D140" i="15"/>
  <c r="E140" i="15"/>
  <c r="F140" i="15"/>
  <c r="I140" i="15" s="1"/>
  <c r="B141" i="15"/>
  <c r="C141" i="15"/>
  <c r="D141" i="15"/>
  <c r="E141" i="15"/>
  <c r="F141" i="15"/>
  <c r="I141" i="15" s="1"/>
  <c r="B142" i="15"/>
  <c r="C142" i="15"/>
  <c r="D142" i="15"/>
  <c r="E142" i="15"/>
  <c r="F142" i="15"/>
  <c r="I142" i="15" s="1"/>
  <c r="B143" i="15"/>
  <c r="C143" i="15"/>
  <c r="D143" i="15"/>
  <c r="E143" i="15"/>
  <c r="F143" i="15"/>
  <c r="I143" i="15" s="1"/>
  <c r="B144" i="15"/>
  <c r="C144" i="15"/>
  <c r="D144" i="15"/>
  <c r="E144" i="15"/>
  <c r="F144" i="15"/>
  <c r="I144" i="15" s="1"/>
  <c r="B145" i="15"/>
  <c r="C145" i="15"/>
  <c r="D145" i="15"/>
  <c r="E145" i="15"/>
  <c r="F145" i="15"/>
  <c r="I145" i="15" s="1"/>
  <c r="B146" i="15"/>
  <c r="C146" i="15"/>
  <c r="D146" i="15"/>
  <c r="E146" i="15"/>
  <c r="F146" i="15"/>
  <c r="I146" i="15" s="1"/>
  <c r="B147" i="15"/>
  <c r="C147" i="15"/>
  <c r="D147" i="15"/>
  <c r="E147" i="15"/>
  <c r="F147" i="15"/>
  <c r="I147" i="15" s="1"/>
  <c r="B148" i="15"/>
  <c r="C148" i="15"/>
  <c r="D148" i="15"/>
  <c r="E148" i="15"/>
  <c r="F148" i="15"/>
  <c r="I148" i="15" s="1"/>
  <c r="B149" i="15"/>
  <c r="C149" i="15"/>
  <c r="D149" i="15"/>
  <c r="E149" i="15"/>
  <c r="F149" i="15"/>
  <c r="I149" i="15" s="1"/>
  <c r="B150" i="15"/>
  <c r="C150" i="15"/>
  <c r="D150" i="15"/>
  <c r="E150" i="15"/>
  <c r="F150" i="15"/>
  <c r="I150" i="15" s="1"/>
  <c r="B151" i="15"/>
  <c r="C151" i="15"/>
  <c r="D151" i="15"/>
  <c r="E151" i="15"/>
  <c r="F151" i="15"/>
  <c r="I151" i="15" s="1"/>
  <c r="B152" i="15"/>
  <c r="C152" i="15"/>
  <c r="D152" i="15"/>
  <c r="E152" i="15"/>
  <c r="F152" i="15"/>
  <c r="I152" i="15" s="1"/>
  <c r="B153" i="15"/>
  <c r="C153" i="15"/>
  <c r="D153" i="15"/>
  <c r="E153" i="15"/>
  <c r="F153" i="15"/>
  <c r="I153" i="15" s="1"/>
  <c r="F128" i="15"/>
  <c r="C128" i="15"/>
  <c r="D128" i="15"/>
  <c r="E128" i="15"/>
  <c r="B128" i="15"/>
  <c r="K16" i="15"/>
  <c r="K17" i="15"/>
  <c r="K18" i="15"/>
  <c r="K19" i="15"/>
  <c r="K20" i="15"/>
  <c r="K21" i="15"/>
  <c r="K22" i="15"/>
  <c r="K23" i="15"/>
  <c r="K24" i="15"/>
  <c r="K25" i="15"/>
  <c r="K26" i="15"/>
  <c r="K27" i="15"/>
  <c r="K28" i="15"/>
  <c r="K29" i="15"/>
  <c r="K30" i="15"/>
  <c r="K31" i="15"/>
  <c r="K32" i="15"/>
  <c r="K33" i="15"/>
  <c r="K34" i="15"/>
  <c r="H120" i="15"/>
  <c r="H168" i="15" s="1"/>
  <c r="J3" i="15"/>
  <c r="K4" i="15"/>
  <c r="B4" i="15"/>
  <c r="B3" i="15"/>
  <c r="B2" i="15"/>
  <c r="Q88" i="2"/>
  <c r="C54" i="15"/>
  <c r="C52" i="15"/>
  <c r="K45" i="15"/>
  <c r="K10" i="15"/>
  <c r="K11" i="15"/>
  <c r="K12" i="15"/>
  <c r="K13" i="15"/>
  <c r="K14" i="15"/>
  <c r="K15" i="15"/>
  <c r="K9" i="15"/>
  <c r="H4" i="15"/>
  <c r="G46" i="14"/>
  <c r="A83" i="14"/>
  <c r="A75" i="14"/>
  <c r="A74" i="14"/>
  <c r="A73" i="14"/>
  <c r="A62" i="14"/>
  <c r="A61" i="14"/>
  <c r="A60" i="14"/>
  <c r="A45" i="14"/>
  <c r="A44" i="14"/>
  <c r="A43" i="14"/>
  <c r="A34" i="14"/>
  <c r="A33" i="14"/>
  <c r="A32" i="14"/>
  <c r="A17" i="14"/>
  <c r="B2" i="14"/>
  <c r="C33" i="9"/>
  <c r="I46" i="11" s="1"/>
  <c r="B6" i="4"/>
  <c r="D19" i="9"/>
  <c r="E19" i="9" s="1"/>
  <c r="F19" i="9" s="1"/>
  <c r="G19" i="9" s="1"/>
  <c r="H19" i="9" s="1"/>
  <c r="I19" i="9" s="1"/>
  <c r="J19" i="9" s="1"/>
  <c r="K19" i="9" s="1"/>
  <c r="L19" i="9" s="1"/>
  <c r="C54" i="9" s="1"/>
  <c r="D54" i="9" s="1"/>
  <c r="E54" i="9" s="1"/>
  <c r="F54" i="9" s="1"/>
  <c r="G54" i="9" s="1"/>
  <c r="H54" i="9" s="1"/>
  <c r="I54" i="9" s="1"/>
  <c r="J54" i="9" s="1"/>
  <c r="K54" i="9" s="1"/>
  <c r="L54" i="9" s="1"/>
  <c r="C89" i="9" s="1"/>
  <c r="D89" i="9" s="1"/>
  <c r="E89" i="9" s="1"/>
  <c r="F89" i="9" s="1"/>
  <c r="G89" i="9" s="1"/>
  <c r="H89" i="9" s="1"/>
  <c r="I89" i="9" s="1"/>
  <c r="J89" i="9" s="1"/>
  <c r="K89" i="9" s="1"/>
  <c r="L89" i="9" s="1"/>
  <c r="P30" i="9"/>
  <c r="P29" i="9"/>
  <c r="P28" i="9"/>
  <c r="P27" i="9"/>
  <c r="P26" i="9"/>
  <c r="P25" i="9"/>
  <c r="P24" i="9"/>
  <c r="P23" i="9"/>
  <c r="P22" i="9"/>
  <c r="P21" i="9"/>
  <c r="C291" i="13"/>
  <c r="C284" i="13"/>
  <c r="C277" i="13"/>
  <c r="C270" i="13"/>
  <c r="C263" i="13"/>
  <c r="C256" i="13"/>
  <c r="C249" i="13"/>
  <c r="C242" i="13"/>
  <c r="C235" i="13"/>
  <c r="C228" i="13"/>
  <c r="C221" i="13"/>
  <c r="C214" i="13"/>
  <c r="C207" i="13"/>
  <c r="C200" i="13"/>
  <c r="C193" i="13"/>
  <c r="G294" i="13"/>
  <c r="I293" i="13"/>
  <c r="G287" i="13"/>
  <c r="I286" i="13"/>
  <c r="G280" i="13"/>
  <c r="I279" i="13"/>
  <c r="G273" i="13"/>
  <c r="I272" i="13"/>
  <c r="G266" i="13"/>
  <c r="I265" i="13"/>
  <c r="G259" i="13"/>
  <c r="I258" i="13"/>
  <c r="G252" i="13"/>
  <c r="I251" i="13"/>
  <c r="G245" i="13"/>
  <c r="I244" i="13"/>
  <c r="G238" i="13"/>
  <c r="I237" i="13"/>
  <c r="G231" i="13"/>
  <c r="I230" i="13"/>
  <c r="G224" i="13"/>
  <c r="I223" i="13"/>
  <c r="G217" i="13"/>
  <c r="I216" i="13"/>
  <c r="G210" i="13"/>
  <c r="I209" i="13"/>
  <c r="G203" i="13"/>
  <c r="I202" i="13"/>
  <c r="G196" i="13"/>
  <c r="I195" i="13"/>
  <c r="E63" i="14"/>
  <c r="C186" i="13"/>
  <c r="C179" i="13"/>
  <c r="C172" i="13"/>
  <c r="C165" i="13"/>
  <c r="C158" i="13"/>
  <c r="C151" i="13"/>
  <c r="C144" i="13"/>
  <c r="C137" i="13"/>
  <c r="C130" i="13"/>
  <c r="C123" i="13"/>
  <c r="C116" i="13"/>
  <c r="C109" i="13"/>
  <c r="C102" i="13"/>
  <c r="G189" i="13"/>
  <c r="I188" i="13"/>
  <c r="G182" i="13"/>
  <c r="I181" i="13"/>
  <c r="G175" i="13"/>
  <c r="I174" i="13"/>
  <c r="G168" i="13"/>
  <c r="I167" i="13"/>
  <c r="G161" i="13"/>
  <c r="I160" i="13"/>
  <c r="G154" i="13"/>
  <c r="I153" i="13"/>
  <c r="G147" i="13"/>
  <c r="I146" i="13"/>
  <c r="G140" i="13"/>
  <c r="I139" i="13"/>
  <c r="G133" i="13"/>
  <c r="I132" i="13"/>
  <c r="G126" i="13"/>
  <c r="I125" i="13"/>
  <c r="G119" i="13"/>
  <c r="I118" i="13"/>
  <c r="G112" i="13"/>
  <c r="I111" i="13"/>
  <c r="G105" i="13"/>
  <c r="I104" i="13"/>
  <c r="F110" i="10"/>
  <c r="F108" i="10"/>
  <c r="F107" i="10"/>
  <c r="F106" i="10"/>
  <c r="F88" i="10"/>
  <c r="F87" i="10"/>
  <c r="F86" i="10"/>
  <c r="F84" i="10"/>
  <c r="F81" i="10"/>
  <c r="F80" i="10"/>
  <c r="F79" i="10"/>
  <c r="F75" i="10"/>
  <c r="F74" i="10"/>
  <c r="F73" i="10"/>
  <c r="F72" i="10"/>
  <c r="F71" i="10"/>
  <c r="F70" i="10"/>
  <c r="F69" i="10"/>
  <c r="F68" i="10"/>
  <c r="F67" i="10"/>
  <c r="F66" i="10"/>
  <c r="F62" i="10"/>
  <c r="F61" i="10"/>
  <c r="F60" i="10"/>
  <c r="F59" i="10"/>
  <c r="F58" i="10"/>
  <c r="F57" i="10"/>
  <c r="F56" i="10"/>
  <c r="F55" i="10"/>
  <c r="F53" i="10"/>
  <c r="F52" i="10"/>
  <c r="F51" i="10"/>
  <c r="F50" i="10"/>
  <c r="F49" i="10"/>
  <c r="F45" i="10"/>
  <c r="F44" i="10"/>
  <c r="F43" i="10"/>
  <c r="F42" i="10"/>
  <c r="F41" i="10"/>
  <c r="F40" i="10"/>
  <c r="F39" i="10"/>
  <c r="F38" i="10"/>
  <c r="F34" i="10"/>
  <c r="F33" i="10"/>
  <c r="F32" i="10"/>
  <c r="F31" i="10"/>
  <c r="F30" i="10"/>
  <c r="F29" i="10"/>
  <c r="F28" i="10"/>
  <c r="F26" i="10"/>
  <c r="F25" i="10"/>
  <c r="F24" i="10"/>
  <c r="F23" i="10"/>
  <c r="F22" i="10"/>
  <c r="F21" i="10"/>
  <c r="F17" i="10"/>
  <c r="F16" i="10"/>
  <c r="E10" i="11"/>
  <c r="E84" i="11" s="1"/>
  <c r="D22" i="12"/>
  <c r="C22" i="12"/>
  <c r="F6" i="4"/>
  <c r="E6" i="4" s="1"/>
  <c r="F8" i="4"/>
  <c r="O20" i="9" s="1"/>
  <c r="D8" i="4"/>
  <c r="Q20" i="9" s="1"/>
  <c r="F7" i="4"/>
  <c r="D7" i="4"/>
  <c r="Q19" i="9" s="1"/>
  <c r="A7" i="4"/>
  <c r="N19" i="9" s="1"/>
  <c r="A6" i="4"/>
  <c r="N18" i="9" s="1"/>
  <c r="C7" i="4"/>
  <c r="P19" i="9" s="1"/>
  <c r="O49" i="5"/>
  <c r="N49" i="5"/>
  <c r="M49" i="5"/>
  <c r="L49" i="5"/>
  <c r="K49" i="5"/>
  <c r="O48" i="5"/>
  <c r="N48" i="5"/>
  <c r="M48" i="5"/>
  <c r="L48" i="5"/>
  <c r="K48" i="5"/>
  <c r="E48" i="5"/>
  <c r="C95" i="13"/>
  <c r="G98" i="13"/>
  <c r="I97" i="13"/>
  <c r="C88" i="13"/>
  <c r="C81" i="13"/>
  <c r="C74" i="13"/>
  <c r="C67" i="13"/>
  <c r="C60" i="13"/>
  <c r="C53" i="13"/>
  <c r="I55" i="13"/>
  <c r="G56" i="13"/>
  <c r="I62" i="13"/>
  <c r="G63" i="13"/>
  <c r="I69" i="13"/>
  <c r="G70" i="13"/>
  <c r="I76" i="13"/>
  <c r="G77" i="13"/>
  <c r="I83" i="13"/>
  <c r="G84" i="13"/>
  <c r="I90" i="13"/>
  <c r="G91" i="13"/>
  <c r="K9" i="13"/>
  <c r="G9" i="13"/>
  <c r="C9" i="13"/>
  <c r="C43" i="12"/>
  <c r="I48" i="13"/>
  <c r="I41" i="13"/>
  <c r="I34" i="13"/>
  <c r="I27" i="13"/>
  <c r="I20" i="13"/>
  <c r="C46" i="13"/>
  <c r="C39" i="13"/>
  <c r="C32" i="13"/>
  <c r="C25" i="13"/>
  <c r="C18" i="13"/>
  <c r="I13" i="13"/>
  <c r="C11" i="13"/>
  <c r="F48" i="5"/>
  <c r="G2" i="9"/>
  <c r="G49" i="13"/>
  <c r="G42" i="13"/>
  <c r="G35" i="13"/>
  <c r="G28" i="13"/>
  <c r="G21" i="13"/>
  <c r="G14" i="13"/>
  <c r="C7" i="13"/>
  <c r="G7" i="13" s="1"/>
  <c r="K8" i="13"/>
  <c r="C8" i="13"/>
  <c r="K6" i="13"/>
  <c r="C6" i="13"/>
  <c r="C5" i="13"/>
  <c r="J2" i="13"/>
  <c r="C2" i="13"/>
  <c r="H33" i="11"/>
  <c r="H35" i="11" s="1"/>
  <c r="E78" i="11"/>
  <c r="D20" i="9"/>
  <c r="E20" i="9" s="1"/>
  <c r="F20" i="9" s="1"/>
  <c r="G20" i="9" s="1"/>
  <c r="H20" i="9" s="1"/>
  <c r="I20" i="9" s="1"/>
  <c r="J20" i="9" s="1"/>
  <c r="K20" i="9" s="1"/>
  <c r="L20" i="9" s="1"/>
  <c r="C55" i="9" s="1"/>
  <c r="D55" i="9" s="1"/>
  <c r="E55" i="9" s="1"/>
  <c r="F55" i="9" s="1"/>
  <c r="G55" i="9" s="1"/>
  <c r="H55" i="9" s="1"/>
  <c r="I55" i="9" s="1"/>
  <c r="J55" i="9" s="1"/>
  <c r="K55" i="9" s="1"/>
  <c r="L55" i="9" s="1"/>
  <c r="C90" i="9" s="1"/>
  <c r="D90" i="9" s="1"/>
  <c r="E90" i="9" s="1"/>
  <c r="F90" i="9" s="1"/>
  <c r="G90" i="9" s="1"/>
  <c r="H90" i="9" s="1"/>
  <c r="I90" i="9" s="1"/>
  <c r="J90" i="9" s="1"/>
  <c r="K90" i="9" s="1"/>
  <c r="L90" i="9" s="1"/>
  <c r="D18" i="9"/>
  <c r="E119" i="10"/>
  <c r="U53" i="15" s="1"/>
  <c r="E111" i="10"/>
  <c r="E103" i="10"/>
  <c r="E89" i="10"/>
  <c r="E76" i="10"/>
  <c r="E63" i="10"/>
  <c r="E46" i="10"/>
  <c r="E35" i="10"/>
  <c r="E18" i="10"/>
  <c r="C26" i="10" s="1"/>
  <c r="J119" i="10"/>
  <c r="J111" i="10"/>
  <c r="J103" i="10"/>
  <c r="J89" i="10"/>
  <c r="J76" i="10"/>
  <c r="J63" i="10"/>
  <c r="J46" i="10"/>
  <c r="J18" i="10"/>
  <c r="L118" i="10"/>
  <c r="L117" i="10"/>
  <c r="L116" i="10"/>
  <c r="L115" i="10"/>
  <c r="L114" i="10"/>
  <c r="L110" i="10"/>
  <c r="L108" i="10"/>
  <c r="L107" i="10"/>
  <c r="L106" i="10"/>
  <c r="L102" i="10"/>
  <c r="L101" i="10"/>
  <c r="L100" i="10"/>
  <c r="L99" i="10"/>
  <c r="L98" i="10"/>
  <c r="L97" i="10"/>
  <c r="L96" i="10"/>
  <c r="L95" i="10"/>
  <c r="L94" i="10"/>
  <c r="L93" i="10"/>
  <c r="L92" i="10"/>
  <c r="L88" i="10"/>
  <c r="L87" i="10"/>
  <c r="L86" i="10"/>
  <c r="L84" i="10"/>
  <c r="L83" i="10"/>
  <c r="L82" i="10"/>
  <c r="L81" i="10"/>
  <c r="L80" i="10"/>
  <c r="L79" i="10"/>
  <c r="L75" i="10"/>
  <c r="L74" i="10"/>
  <c r="L73" i="10"/>
  <c r="L72" i="10"/>
  <c r="L71" i="10"/>
  <c r="L70" i="10"/>
  <c r="L69" i="10"/>
  <c r="L68" i="10"/>
  <c r="L67" i="10"/>
  <c r="L66" i="10"/>
  <c r="L62" i="10"/>
  <c r="L61" i="10"/>
  <c r="L60" i="10"/>
  <c r="L59" i="10"/>
  <c r="L58" i="10"/>
  <c r="L57" i="10"/>
  <c r="L56" i="10"/>
  <c r="L55" i="10"/>
  <c r="L53" i="10"/>
  <c r="L52" i="10"/>
  <c r="L51" i="10"/>
  <c r="L50" i="10"/>
  <c r="L49" i="10"/>
  <c r="L45" i="10"/>
  <c r="L44" i="10"/>
  <c r="L43" i="10"/>
  <c r="L42" i="10"/>
  <c r="L41" i="10"/>
  <c r="L40" i="10"/>
  <c r="L39" i="10"/>
  <c r="L38" i="10"/>
  <c r="L34" i="10"/>
  <c r="L33" i="10"/>
  <c r="L32" i="10"/>
  <c r="L31" i="10"/>
  <c r="L30" i="10"/>
  <c r="L29" i="10"/>
  <c r="L28" i="10"/>
  <c r="L26" i="10"/>
  <c r="L25" i="10"/>
  <c r="L24" i="10"/>
  <c r="L23" i="10"/>
  <c r="L22" i="10"/>
  <c r="L21" i="10"/>
  <c r="L17" i="10"/>
  <c r="L16" i="10"/>
  <c r="L15" i="10"/>
  <c r="L14" i="10"/>
  <c r="L10" i="10"/>
  <c r="L9" i="10"/>
  <c r="L8" i="10"/>
  <c r="J11" i="10"/>
  <c r="I21" i="11"/>
  <c r="O56" i="5"/>
  <c r="N56" i="5"/>
  <c r="M56" i="5"/>
  <c r="L56" i="5"/>
  <c r="K56" i="5"/>
  <c r="O43" i="5"/>
  <c r="N43" i="5"/>
  <c r="M43" i="5"/>
  <c r="L43" i="5"/>
  <c r="K43" i="5"/>
  <c r="O31" i="5"/>
  <c r="N31" i="5"/>
  <c r="M31" i="5"/>
  <c r="L31" i="5"/>
  <c r="K31" i="5"/>
  <c r="O20" i="5"/>
  <c r="N20" i="5"/>
  <c r="M20" i="5"/>
  <c r="L20" i="5"/>
  <c r="K20" i="5"/>
  <c r="L8" i="5"/>
  <c r="M8" i="5"/>
  <c r="N8" i="5"/>
  <c r="O8" i="5"/>
  <c r="K8" i="5"/>
  <c r="C3" i="5"/>
  <c r="C2" i="5"/>
  <c r="O23" i="5"/>
  <c r="N23" i="5"/>
  <c r="M23" i="5"/>
  <c r="L23" i="5"/>
  <c r="K23" i="5"/>
  <c r="O7" i="5"/>
  <c r="N7" i="5"/>
  <c r="M7" i="5"/>
  <c r="L7" i="5"/>
  <c r="K7" i="5"/>
  <c r="T20" i="5" s="1"/>
  <c r="U20" i="5" s="1"/>
  <c r="C44" i="12"/>
  <c r="C42" i="12"/>
  <c r="C41" i="12"/>
  <c r="C40" i="12"/>
  <c r="C39" i="12"/>
  <c r="C38" i="12"/>
  <c r="C37" i="12"/>
  <c r="C36" i="12"/>
  <c r="D88" i="2" a="1"/>
  <c r="D88" i="2" s="1"/>
  <c r="U88" i="2"/>
  <c r="M88" i="2"/>
  <c r="K88" i="2"/>
  <c r="J88" i="2"/>
  <c r="I88" i="2"/>
  <c r="L88" i="2" a="1"/>
  <c r="L88" i="2" s="1"/>
  <c r="F88" i="2"/>
  <c r="B88" i="2"/>
  <c r="E89" i="11"/>
  <c r="H28" i="11"/>
  <c r="H17" i="12"/>
  <c r="H16" i="12"/>
  <c r="C24" i="12"/>
  <c r="C19" i="12"/>
  <c r="H2" i="12"/>
  <c r="B2" i="12"/>
  <c r="H34" i="4"/>
  <c r="J33" i="4"/>
  <c r="J32" i="4"/>
  <c r="J31" i="4"/>
  <c r="J30" i="4"/>
  <c r="J29" i="4"/>
  <c r="J28" i="4"/>
  <c r="J27" i="4"/>
  <c r="J26" i="4"/>
  <c r="J25" i="4"/>
  <c r="J9" i="4"/>
  <c r="J10" i="4"/>
  <c r="J11" i="4"/>
  <c r="J12" i="4"/>
  <c r="J13" i="4"/>
  <c r="J14" i="4"/>
  <c r="J15" i="4"/>
  <c r="J16" i="4"/>
  <c r="J17" i="4"/>
  <c r="J18" i="4"/>
  <c r="H19" i="4"/>
  <c r="H20" i="4" s="1"/>
  <c r="F19" i="4"/>
  <c r="O31" i="9" s="1"/>
  <c r="T88" i="2" a="1"/>
  <c r="T88" i="2" s="1"/>
  <c r="R88" i="2"/>
  <c r="L15" i="2"/>
  <c r="G15" i="2"/>
  <c r="C88" i="2"/>
  <c r="H36" i="11"/>
  <c r="E73" i="11"/>
  <c r="E72" i="11"/>
  <c r="C7" i="11"/>
  <c r="C6" i="11"/>
  <c r="L55" i="5"/>
  <c r="M55" i="5"/>
  <c r="N55" i="5"/>
  <c r="O55" i="5"/>
  <c r="K55" i="5"/>
  <c r="L42" i="5"/>
  <c r="M42" i="5"/>
  <c r="N42" i="5"/>
  <c r="O42" i="5"/>
  <c r="K42" i="5"/>
  <c r="M27" i="5"/>
  <c r="B2" i="10"/>
  <c r="B2" i="2"/>
  <c r="K2" i="10"/>
  <c r="T2" i="2"/>
  <c r="H17" i="5"/>
  <c r="H18" i="5"/>
  <c r="H19" i="5"/>
  <c r="H20" i="5"/>
  <c r="H21" i="5"/>
  <c r="H22" i="5"/>
  <c r="H104" i="5"/>
  <c r="C11" i="9" s="1"/>
  <c r="D11" i="9" s="1"/>
  <c r="E11" i="9" s="1"/>
  <c r="F11" i="9" s="1"/>
  <c r="G11" i="9" s="1"/>
  <c r="H11" i="9" s="1"/>
  <c r="I11" i="9" s="1"/>
  <c r="J11" i="9" s="1"/>
  <c r="K11" i="9" s="1"/>
  <c r="L11" i="9" s="1"/>
  <c r="C46" i="9" s="1"/>
  <c r="D46" i="9" s="1"/>
  <c r="E46" i="9" s="1"/>
  <c r="F46" i="9" s="1"/>
  <c r="G46" i="9" s="1"/>
  <c r="H46" i="9" s="1"/>
  <c r="I46" i="9" s="1"/>
  <c r="J46" i="9" s="1"/>
  <c r="K46" i="9" s="1"/>
  <c r="L46" i="9" s="1"/>
  <c r="C81" i="9" s="1"/>
  <c r="D81" i="9" s="1"/>
  <c r="E81" i="9" s="1"/>
  <c r="F81" i="9" s="1"/>
  <c r="G81" i="9" s="1"/>
  <c r="H81" i="9" s="1"/>
  <c r="I81" i="9" s="1"/>
  <c r="J81" i="9" s="1"/>
  <c r="K81" i="9" s="1"/>
  <c r="L81" i="9" s="1"/>
  <c r="H94" i="5"/>
  <c r="C10" i="9" s="1"/>
  <c r="D10" i="9" s="1"/>
  <c r="E10" i="9" s="1"/>
  <c r="F10" i="9" s="1"/>
  <c r="G10" i="9" s="1"/>
  <c r="H10" i="9" s="1"/>
  <c r="I10" i="9" s="1"/>
  <c r="J10" i="9" s="1"/>
  <c r="K10" i="9" s="1"/>
  <c r="L10" i="9" s="1"/>
  <c r="C45" i="9" s="1"/>
  <c r="D45" i="9" s="1"/>
  <c r="E45" i="9" s="1"/>
  <c r="F45" i="9" s="1"/>
  <c r="G45" i="9" s="1"/>
  <c r="H45" i="9" s="1"/>
  <c r="I45" i="9" s="1"/>
  <c r="J45" i="9" s="1"/>
  <c r="K45" i="9" s="1"/>
  <c r="L45" i="9" s="1"/>
  <c r="C80" i="9" s="1"/>
  <c r="D80" i="9" s="1"/>
  <c r="E80" i="9" s="1"/>
  <c r="F80" i="9" s="1"/>
  <c r="G80" i="9" s="1"/>
  <c r="H80" i="9" s="1"/>
  <c r="I80" i="9" s="1"/>
  <c r="J80" i="9" s="1"/>
  <c r="K80" i="9" s="1"/>
  <c r="L80" i="9" s="1"/>
  <c r="H80" i="5"/>
  <c r="C9" i="9" s="1"/>
  <c r="D9" i="9" s="1"/>
  <c r="E9" i="9" s="1"/>
  <c r="F9" i="9" s="1"/>
  <c r="G9" i="9" s="1"/>
  <c r="H9" i="9" s="1"/>
  <c r="I9" i="9" s="1"/>
  <c r="J9" i="9" s="1"/>
  <c r="K9" i="9" s="1"/>
  <c r="L9" i="9" s="1"/>
  <c r="C44" i="9" s="1"/>
  <c r="D44" i="9" s="1"/>
  <c r="E44" i="9" s="1"/>
  <c r="F44" i="9" s="1"/>
  <c r="G44" i="9" s="1"/>
  <c r="H44" i="9" s="1"/>
  <c r="I44" i="9" s="1"/>
  <c r="J44" i="9" s="1"/>
  <c r="K44" i="9" s="1"/>
  <c r="L44" i="9" s="1"/>
  <c r="C79" i="9" s="1"/>
  <c r="D79" i="9" s="1"/>
  <c r="E79" i="9" s="1"/>
  <c r="F79" i="9" s="1"/>
  <c r="G79" i="9" s="1"/>
  <c r="H79" i="9" s="1"/>
  <c r="I79" i="9" s="1"/>
  <c r="J79" i="9" s="1"/>
  <c r="K79" i="9" s="1"/>
  <c r="L79" i="9" s="1"/>
  <c r="H71" i="5"/>
  <c r="C8" i="9" s="1"/>
  <c r="D8" i="9" s="1"/>
  <c r="E8" i="9" s="1"/>
  <c r="F8" i="9" s="1"/>
  <c r="G8" i="9" s="1"/>
  <c r="H8" i="9" s="1"/>
  <c r="I8" i="9" s="1"/>
  <c r="J8" i="9" s="1"/>
  <c r="K8" i="9" s="1"/>
  <c r="L8" i="9" s="1"/>
  <c r="C43" i="9" s="1"/>
  <c r="D43" i="9" s="1"/>
  <c r="E43" i="9" s="1"/>
  <c r="F43" i="9" s="1"/>
  <c r="G43" i="9" s="1"/>
  <c r="H43" i="9" s="1"/>
  <c r="I43" i="9" s="1"/>
  <c r="J43" i="9" s="1"/>
  <c r="K43" i="9" s="1"/>
  <c r="L43" i="9" s="1"/>
  <c r="C78" i="9" s="1"/>
  <c r="D78" i="9" s="1"/>
  <c r="E78" i="9" s="1"/>
  <c r="F78" i="9" s="1"/>
  <c r="G78" i="9" s="1"/>
  <c r="H78" i="9" s="1"/>
  <c r="I78" i="9" s="1"/>
  <c r="J78" i="9" s="1"/>
  <c r="K78" i="9" s="1"/>
  <c r="L78" i="9" s="1"/>
  <c r="Q22" i="9"/>
  <c r="Q23" i="9"/>
  <c r="Q24" i="9"/>
  <c r="Q25" i="9"/>
  <c r="Q26" i="9"/>
  <c r="Q27" i="9"/>
  <c r="Q28" i="9"/>
  <c r="Q29" i="9"/>
  <c r="Q30" i="9"/>
  <c r="Q21" i="9"/>
  <c r="O22" i="9"/>
  <c r="O23" i="9"/>
  <c r="O24" i="9"/>
  <c r="O25" i="9"/>
  <c r="O26" i="9"/>
  <c r="O27" i="9"/>
  <c r="O28" i="9"/>
  <c r="O29" i="9"/>
  <c r="O30" i="9"/>
  <c r="O21" i="9"/>
  <c r="U18" i="9"/>
  <c r="F66" i="9"/>
  <c r="G66" i="9" s="1"/>
  <c r="H66" i="9" s="1"/>
  <c r="C102" i="9"/>
  <c r="D102" i="9" s="1"/>
  <c r="E102" i="9" s="1"/>
  <c r="F102" i="9" s="1"/>
  <c r="G102" i="9" s="1"/>
  <c r="H102" i="9" s="1"/>
  <c r="I102" i="9" s="1"/>
  <c r="J102" i="9" s="1"/>
  <c r="K102" i="9" s="1"/>
  <c r="L102" i="9" s="1"/>
  <c r="B2" i="9"/>
  <c r="B2" i="4"/>
  <c r="A67" i="9"/>
  <c r="A30" i="9"/>
  <c r="N30" i="9" s="1"/>
  <c r="A29" i="9"/>
  <c r="A99" i="9" s="1"/>
  <c r="A28" i="9"/>
  <c r="A63" i="9" s="1"/>
  <c r="A27" i="9"/>
  <c r="A62" i="9" s="1"/>
  <c r="A26" i="9"/>
  <c r="N26" i="9" s="1"/>
  <c r="A25" i="9"/>
  <c r="N25" i="9" s="1"/>
  <c r="A24" i="9"/>
  <c r="A59" i="9" s="1"/>
  <c r="A23" i="9"/>
  <c r="N23" i="9" s="1"/>
  <c r="A22" i="9"/>
  <c r="N22" i="9" s="1"/>
  <c r="A21" i="9"/>
  <c r="D30" i="9"/>
  <c r="E30" i="9" s="1"/>
  <c r="F30" i="9" s="1"/>
  <c r="G30" i="9" s="1"/>
  <c r="H30" i="9" s="1"/>
  <c r="I30" i="9" s="1"/>
  <c r="J30" i="9" s="1"/>
  <c r="K30" i="9" s="1"/>
  <c r="L30" i="9" s="1"/>
  <c r="L65" i="9" s="1"/>
  <c r="C100" i="9" s="1"/>
  <c r="D100" i="9" s="1"/>
  <c r="E100" i="9" s="1"/>
  <c r="F100" i="9" s="1"/>
  <c r="G100" i="9" s="1"/>
  <c r="H100" i="9" s="1"/>
  <c r="I100" i="9" s="1"/>
  <c r="J100" i="9" s="1"/>
  <c r="K100" i="9" s="1"/>
  <c r="L100" i="9" s="1"/>
  <c r="J64" i="9"/>
  <c r="K64" i="9" s="1"/>
  <c r="L64" i="9" s="1"/>
  <c r="C99" i="9" s="1"/>
  <c r="D99" i="9" s="1"/>
  <c r="E99" i="9" s="1"/>
  <c r="F99" i="9" s="1"/>
  <c r="G99" i="9" s="1"/>
  <c r="H99" i="9" s="1"/>
  <c r="I99" i="9" s="1"/>
  <c r="J99" i="9" s="1"/>
  <c r="K99" i="9" s="1"/>
  <c r="L99" i="9" s="1"/>
  <c r="D28" i="9"/>
  <c r="E28" i="9" s="1"/>
  <c r="F28" i="9" s="1"/>
  <c r="G28" i="9" s="1"/>
  <c r="H28" i="9" s="1"/>
  <c r="I28" i="9" s="1"/>
  <c r="J28" i="9" s="1"/>
  <c r="K28" i="9" s="1"/>
  <c r="L28" i="9" s="1"/>
  <c r="C63" i="9" s="1"/>
  <c r="D63" i="9" s="1"/>
  <c r="E63" i="9" s="1"/>
  <c r="F63" i="9" s="1"/>
  <c r="G63" i="9" s="1"/>
  <c r="H63" i="9" s="1"/>
  <c r="J63" i="9" s="1"/>
  <c r="K63" i="9" s="1"/>
  <c r="L63" i="9" s="1"/>
  <c r="C98" i="9" s="1"/>
  <c r="D98" i="9" s="1"/>
  <c r="E98" i="9" s="1"/>
  <c r="F98" i="9" s="1"/>
  <c r="G98" i="9" s="1"/>
  <c r="H98" i="9" s="1"/>
  <c r="I98" i="9" s="1"/>
  <c r="J98" i="9" s="1"/>
  <c r="K98" i="9" s="1"/>
  <c r="L98" i="9" s="1"/>
  <c r="D27" i="9"/>
  <c r="E27" i="9" s="1"/>
  <c r="F27" i="9" s="1"/>
  <c r="G27" i="9" s="1"/>
  <c r="H27" i="9" s="1"/>
  <c r="I27" i="9" s="1"/>
  <c r="J27" i="9" s="1"/>
  <c r="K27" i="9" s="1"/>
  <c r="L27" i="9" s="1"/>
  <c r="C62" i="9" s="1"/>
  <c r="D62" i="9" s="1"/>
  <c r="E62" i="9" s="1"/>
  <c r="F62" i="9" s="1"/>
  <c r="G62" i="9" s="1"/>
  <c r="H62" i="9" s="1"/>
  <c r="I62" i="9" s="1"/>
  <c r="J62" i="9" s="1"/>
  <c r="K62" i="9" s="1"/>
  <c r="L62" i="9" s="1"/>
  <c r="C97" i="9" s="1"/>
  <c r="D97" i="9" s="1"/>
  <c r="E97" i="9" s="1"/>
  <c r="F97" i="9" s="1"/>
  <c r="G97" i="9" s="1"/>
  <c r="H97" i="9" s="1"/>
  <c r="I97" i="9" s="1"/>
  <c r="J97" i="9" s="1"/>
  <c r="K97" i="9" s="1"/>
  <c r="L97" i="9" s="1"/>
  <c r="D26" i="9"/>
  <c r="E26" i="9" s="1"/>
  <c r="F26" i="9" s="1"/>
  <c r="G26" i="9" s="1"/>
  <c r="H26" i="9" s="1"/>
  <c r="I26" i="9" s="1"/>
  <c r="J26" i="9" s="1"/>
  <c r="K26" i="9" s="1"/>
  <c r="L26" i="9" s="1"/>
  <c r="C61" i="9" s="1"/>
  <c r="D61" i="9" s="1"/>
  <c r="E61" i="9" s="1"/>
  <c r="F61" i="9" s="1"/>
  <c r="G61" i="9" s="1"/>
  <c r="H61" i="9" s="1"/>
  <c r="I61" i="9" s="1"/>
  <c r="J61" i="9" s="1"/>
  <c r="K61" i="9" s="1"/>
  <c r="L61" i="9" s="1"/>
  <c r="C96" i="9" s="1"/>
  <c r="D96" i="9" s="1"/>
  <c r="E96" i="9" s="1"/>
  <c r="F96" i="9" s="1"/>
  <c r="G96" i="9" s="1"/>
  <c r="H96" i="9" s="1"/>
  <c r="I96" i="9" s="1"/>
  <c r="J96" i="9" s="1"/>
  <c r="K96" i="9" s="1"/>
  <c r="L96" i="9" s="1"/>
  <c r="D25" i="9"/>
  <c r="E25" i="9" s="1"/>
  <c r="F25" i="9" s="1"/>
  <c r="G25" i="9" s="1"/>
  <c r="H25" i="9" s="1"/>
  <c r="I25" i="9" s="1"/>
  <c r="J25" i="9" s="1"/>
  <c r="K25" i="9" s="1"/>
  <c r="L25" i="9" s="1"/>
  <c r="C60" i="9" s="1"/>
  <c r="D60" i="9" s="1"/>
  <c r="E60" i="9" s="1"/>
  <c r="F60" i="9" s="1"/>
  <c r="G60" i="9" s="1"/>
  <c r="H60" i="9" s="1"/>
  <c r="I60" i="9" s="1"/>
  <c r="J60" i="9" s="1"/>
  <c r="K60" i="9" s="1"/>
  <c r="L60" i="9" s="1"/>
  <c r="C95" i="9" s="1"/>
  <c r="D95" i="9" s="1"/>
  <c r="E95" i="9" s="1"/>
  <c r="F95" i="9" s="1"/>
  <c r="G95" i="9" s="1"/>
  <c r="H95" i="9" s="1"/>
  <c r="I95" i="9" s="1"/>
  <c r="J95" i="9" s="1"/>
  <c r="K95" i="9" s="1"/>
  <c r="L95" i="9" s="1"/>
  <c r="D24" i="9"/>
  <c r="E24" i="9" s="1"/>
  <c r="F24" i="9" s="1"/>
  <c r="G24" i="9" s="1"/>
  <c r="H24" i="9" s="1"/>
  <c r="I24" i="9" s="1"/>
  <c r="J24" i="9" s="1"/>
  <c r="K24" i="9" s="1"/>
  <c r="L24" i="9" s="1"/>
  <c r="C59" i="9" s="1"/>
  <c r="D59" i="9" s="1"/>
  <c r="E59" i="9" s="1"/>
  <c r="F59" i="9" s="1"/>
  <c r="G59" i="9" s="1"/>
  <c r="H59" i="9" s="1"/>
  <c r="I59" i="9" s="1"/>
  <c r="J59" i="9" s="1"/>
  <c r="K59" i="9" s="1"/>
  <c r="L59" i="9" s="1"/>
  <c r="C94" i="9" s="1"/>
  <c r="D94" i="9" s="1"/>
  <c r="E94" i="9" s="1"/>
  <c r="F94" i="9" s="1"/>
  <c r="G94" i="9" s="1"/>
  <c r="H94" i="9" s="1"/>
  <c r="I94" i="9" s="1"/>
  <c r="J94" i="9" s="1"/>
  <c r="K94" i="9" s="1"/>
  <c r="L94" i="9" s="1"/>
  <c r="D23" i="9"/>
  <c r="E23" i="9" s="1"/>
  <c r="F23" i="9" s="1"/>
  <c r="G23" i="9" s="1"/>
  <c r="H23" i="9" s="1"/>
  <c r="I23" i="9" s="1"/>
  <c r="J23" i="9" s="1"/>
  <c r="K23" i="9" s="1"/>
  <c r="L23" i="9" s="1"/>
  <c r="C58" i="9" s="1"/>
  <c r="D58" i="9" s="1"/>
  <c r="E58" i="9" s="1"/>
  <c r="F58" i="9" s="1"/>
  <c r="G58" i="9" s="1"/>
  <c r="H58" i="9" s="1"/>
  <c r="I58" i="9" s="1"/>
  <c r="J58" i="9" s="1"/>
  <c r="K58" i="9" s="1"/>
  <c r="L58" i="9" s="1"/>
  <c r="C93" i="9" s="1"/>
  <c r="D93" i="9" s="1"/>
  <c r="E93" i="9" s="1"/>
  <c r="F93" i="9" s="1"/>
  <c r="G93" i="9" s="1"/>
  <c r="H93" i="9" s="1"/>
  <c r="I93" i="9" s="1"/>
  <c r="J93" i="9" s="1"/>
  <c r="K93" i="9" s="1"/>
  <c r="L93" i="9" s="1"/>
  <c r="D22" i="9"/>
  <c r="E22" i="9" s="1"/>
  <c r="F22" i="9" s="1"/>
  <c r="G22" i="9" s="1"/>
  <c r="H22" i="9" s="1"/>
  <c r="I22" i="9" s="1"/>
  <c r="J22" i="9" s="1"/>
  <c r="K22" i="9" s="1"/>
  <c r="L22" i="9" s="1"/>
  <c r="C57" i="9" s="1"/>
  <c r="D57" i="9" s="1"/>
  <c r="E57" i="9" s="1"/>
  <c r="F57" i="9" s="1"/>
  <c r="G57" i="9" s="1"/>
  <c r="H57" i="9" s="1"/>
  <c r="I57" i="9" s="1"/>
  <c r="J57" i="9" s="1"/>
  <c r="K57" i="9" s="1"/>
  <c r="L57" i="9" s="1"/>
  <c r="C92" i="9" s="1"/>
  <c r="D92" i="9" s="1"/>
  <c r="E92" i="9" s="1"/>
  <c r="F92" i="9" s="1"/>
  <c r="G92" i="9" s="1"/>
  <c r="H92" i="9" s="1"/>
  <c r="I92" i="9" s="1"/>
  <c r="J92" i="9" s="1"/>
  <c r="K92" i="9" s="1"/>
  <c r="L92" i="9" s="1"/>
  <c r="D21" i="9"/>
  <c r="E21" i="9" s="1"/>
  <c r="F21" i="9" s="1"/>
  <c r="G21" i="9" s="1"/>
  <c r="H21" i="9" s="1"/>
  <c r="I21" i="9" s="1"/>
  <c r="J21" i="9" s="1"/>
  <c r="K21" i="9" s="1"/>
  <c r="L21" i="9" s="1"/>
  <c r="C56" i="9" s="1"/>
  <c r="D56" i="9" s="1"/>
  <c r="E56" i="9" s="1"/>
  <c r="F56" i="9" s="1"/>
  <c r="G56" i="9" s="1"/>
  <c r="H56" i="9" s="1"/>
  <c r="I56" i="9" s="1"/>
  <c r="A102" i="9"/>
  <c r="A101" i="9"/>
  <c r="A66" i="9"/>
  <c r="H38" i="5"/>
  <c r="H39" i="5"/>
  <c r="H40" i="5"/>
  <c r="H41" i="5"/>
  <c r="H42" i="5"/>
  <c r="H52" i="5"/>
  <c r="H23" i="5"/>
  <c r="H24" i="5"/>
  <c r="H25" i="5"/>
  <c r="H26" i="5"/>
  <c r="H27" i="5"/>
  <c r="H28" i="5"/>
  <c r="H29" i="5"/>
  <c r="H30" i="5"/>
  <c r="H31" i="5"/>
  <c r="H32" i="5"/>
  <c r="B2" i="3"/>
  <c r="G54" i="5"/>
  <c r="H53" i="5"/>
  <c r="H51" i="5"/>
  <c r="H47" i="5"/>
  <c r="H46" i="5"/>
  <c r="H45" i="5"/>
  <c r="H44" i="5"/>
  <c r="H43" i="5"/>
  <c r="H37" i="5"/>
  <c r="H36" i="5"/>
  <c r="H35" i="5"/>
  <c r="H34" i="5"/>
  <c r="H33" i="5"/>
  <c r="H16" i="5"/>
  <c r="H15" i="5"/>
  <c r="H14" i="5"/>
  <c r="H13" i="5"/>
  <c r="H12" i="5"/>
  <c r="H11" i="5"/>
  <c r="H10" i="5"/>
  <c r="H9" i="5"/>
  <c r="H8" i="5"/>
  <c r="H7" i="5"/>
  <c r="A24" i="4"/>
  <c r="D6" i="4"/>
  <c r="Q18" i="9" s="1"/>
  <c r="C6" i="4"/>
  <c r="P18" i="9" s="1"/>
  <c r="C8" i="4"/>
  <c r="P20" i="9" s="1"/>
  <c r="A8" i="4"/>
  <c r="A20" i="9" s="1"/>
  <c r="I2" i="4"/>
  <c r="E34" i="4"/>
  <c r="H17" i="3"/>
  <c r="O24" i="5" s="1"/>
  <c r="G17" i="3"/>
  <c r="N24" i="5" s="1"/>
  <c r="F17" i="3"/>
  <c r="M24" i="5" s="1"/>
  <c r="D17" i="3"/>
  <c r="K24" i="5" s="1"/>
  <c r="E17" i="3"/>
  <c r="L24" i="5" s="1"/>
  <c r="G13" i="1"/>
  <c r="B3" i="3"/>
  <c r="O15" i="2"/>
  <c r="Y11" i="2" s="1"/>
  <c r="K15" i="2"/>
  <c r="K103" i="1" s="1"/>
  <c r="F15" i="2"/>
  <c r="Y9" i="2" s="1"/>
  <c r="C15" i="2"/>
  <c r="Y8" i="2" s="1"/>
  <c r="B15" i="2"/>
  <c r="Y13" i="2" s="1"/>
  <c r="D25" i="1"/>
  <c r="F9" i="10"/>
  <c r="F14" i="10"/>
  <c r="N35" i="5" a="1"/>
  <c r="N34" i="5" a="1"/>
  <c r="L36" i="5" a="1"/>
  <c r="L38" i="5" a="1"/>
  <c r="O34" i="5" a="1"/>
  <c r="M36" i="5" a="1"/>
  <c r="N37" i="5" a="1"/>
  <c r="K38" i="5" a="1"/>
  <c r="O36" i="5" a="1"/>
  <c r="L34" i="5" a="1"/>
  <c r="M34" i="5" a="1"/>
  <c r="O37" i="5" a="1"/>
  <c r="N38" i="5" a="1"/>
  <c r="N33" i="5" a="1"/>
  <c r="L33" i="5" a="1"/>
  <c r="K34" i="5" a="1"/>
  <c r="O35" i="5" a="1"/>
  <c r="K32" i="5" a="1"/>
  <c r="O33" i="5" a="1"/>
  <c r="L35" i="5" a="1"/>
  <c r="K36" i="5" a="1"/>
  <c r="K37" i="5" a="1"/>
  <c r="N32" i="5" a="1"/>
  <c r="L37" i="5" a="1"/>
  <c r="M35" i="5" a="1"/>
  <c r="M33" i="5" a="1"/>
  <c r="K33" i="5" a="1"/>
  <c r="O38" i="5" a="1"/>
  <c r="M38" i="5" a="1"/>
  <c r="M32" i="5" a="1"/>
  <c r="K35" i="5" a="1"/>
  <c r="L32" i="5" a="1"/>
  <c r="O32" i="5" a="1"/>
  <c r="M37" i="5" a="1"/>
  <c r="N36" i="5" a="1"/>
  <c r="L58" i="5" a="1"/>
  <c r="M59" i="5" a="1"/>
  <c r="O57" i="5" a="1"/>
  <c r="M58" i="5" a="1"/>
  <c r="L59" i="5" a="1"/>
  <c r="K59" i="5" a="1"/>
  <c r="O59" i="5" a="1"/>
  <c r="K57" i="5" a="1"/>
  <c r="M57" i="5" a="1"/>
  <c r="N59" i="5" a="1"/>
  <c r="N57" i="5" a="1"/>
  <c r="N58" i="5" a="1"/>
  <c r="L57" i="5" a="1"/>
  <c r="O58" i="5" a="1"/>
  <c r="K58" i="5" a="1"/>
  <c r="K44" i="5" a="1"/>
  <c r="K50" i="5" a="1"/>
  <c r="K51" i="5" a="1"/>
  <c r="X211" i="15" a="1"/>
  <c r="F261" i="15" a="1"/>
  <c r="X116" i="15" a="1"/>
  <c r="F161" i="15" a="1"/>
  <c r="X160" i="15" a="1"/>
  <c r="X262" i="15" a="1"/>
  <c r="X163" i="15" a="1"/>
  <c r="F116" i="15" a="1"/>
  <c r="X161" i="15" a="1"/>
  <c r="X264" i="15" a="1"/>
  <c r="X114" i="15" a="1"/>
  <c r="X265" i="15" a="1"/>
  <c r="F114" i="15" a="1"/>
  <c r="X113" i="15" a="1"/>
  <c r="F164" i="15" a="1"/>
  <c r="X215" i="15" a="1"/>
  <c r="F212" i="15" a="1"/>
  <c r="F211" i="15" a="1"/>
  <c r="F113" i="15" a="1"/>
  <c r="X112" i="15" a="1"/>
  <c r="F213" i="15" a="1"/>
  <c r="X213" i="15" a="1"/>
  <c r="F115" i="15" a="1"/>
  <c r="F160" i="15" a="1"/>
  <c r="F214" i="15" a="1"/>
  <c r="X164" i="15" a="1"/>
  <c r="X261" i="15" a="1"/>
  <c r="F112" i="15" a="1"/>
  <c r="F264" i="15" a="1"/>
  <c r="F162" i="15" a="1"/>
  <c r="F215" i="15" a="1"/>
  <c r="X212" i="15" a="1"/>
  <c r="F263" i="15" a="1"/>
  <c r="F262" i="15" a="1"/>
  <c r="F163" i="15" a="1"/>
  <c r="X115" i="15" a="1"/>
  <c r="F265" i="15" a="1"/>
  <c r="X162" i="15" a="1"/>
  <c r="X263" i="15" a="1"/>
  <c r="X214" i="15" a="1"/>
  <c r="O19" i="9" l="1"/>
  <c r="E7" i="4"/>
  <c r="C263" i="15"/>
  <c r="I66" i="9"/>
  <c r="J66" i="9" s="1"/>
  <c r="K66" i="9" s="1"/>
  <c r="L66" i="9" s="1"/>
  <c r="C101" i="9" s="1"/>
  <c r="D101" i="9" s="1"/>
  <c r="E101" i="9" s="1"/>
  <c r="F101" i="9" s="1"/>
  <c r="G101" i="9" s="1"/>
  <c r="H101" i="9" s="1"/>
  <c r="I101" i="9" s="1"/>
  <c r="J101" i="9" s="1"/>
  <c r="K101" i="9" s="1"/>
  <c r="L101" i="9" s="1"/>
  <c r="J56" i="9"/>
  <c r="K56" i="9" s="1"/>
  <c r="L56" i="9" s="1"/>
  <c r="C91" i="9" s="1"/>
  <c r="D91" i="9" s="1"/>
  <c r="E91" i="9" s="1"/>
  <c r="F91" i="9" s="1"/>
  <c r="G91" i="9" s="1"/>
  <c r="H91" i="9" s="1"/>
  <c r="I91" i="9" s="1"/>
  <c r="J91" i="9" s="1"/>
  <c r="K91" i="9" s="1"/>
  <c r="L91" i="9" s="1"/>
  <c r="F68" i="11"/>
  <c r="F66" i="11"/>
  <c r="F69" i="11"/>
  <c r="F67" i="11"/>
  <c r="F65" i="11"/>
  <c r="N28" i="9"/>
  <c r="A98" i="9"/>
  <c r="C24" i="10"/>
  <c r="C25" i="10"/>
  <c r="X213" i="15"/>
  <c r="AA213" i="15" s="1"/>
  <c r="X161" i="15"/>
  <c r="X211" i="15"/>
  <c r="X261" i="15"/>
  <c r="AA261" i="15" s="1"/>
  <c r="X113" i="15"/>
  <c r="X262" i="15"/>
  <c r="X114" i="15"/>
  <c r="X115" i="15"/>
  <c r="X164" i="15"/>
  <c r="X163" i="15"/>
  <c r="X214" i="15"/>
  <c r="AA214" i="15" s="1"/>
  <c r="X264" i="15"/>
  <c r="AA264" i="15" s="1"/>
  <c r="X263" i="15"/>
  <c r="X112" i="15"/>
  <c r="X212" i="15"/>
  <c r="AA212" i="15" s="1"/>
  <c r="X265" i="15"/>
  <c r="AA265" i="15" s="1"/>
  <c r="X160" i="15"/>
  <c r="X162" i="15"/>
  <c r="X116" i="15"/>
  <c r="X215" i="15"/>
  <c r="F162" i="15"/>
  <c r="F112" i="15"/>
  <c r="F164" i="15"/>
  <c r="F115" i="15"/>
  <c r="F113" i="15"/>
  <c r="F161" i="15"/>
  <c r="F265" i="15"/>
  <c r="F212" i="15"/>
  <c r="F215" i="15"/>
  <c r="F163" i="15"/>
  <c r="F160" i="15"/>
  <c r="F261" i="15"/>
  <c r="F264" i="15"/>
  <c r="F263" i="15"/>
  <c r="F114" i="15"/>
  <c r="F214" i="15"/>
  <c r="F211" i="15"/>
  <c r="F213" i="15"/>
  <c r="F116" i="15"/>
  <c r="F262" i="15"/>
  <c r="C215" i="15"/>
  <c r="AC35" i="15"/>
  <c r="U164" i="15"/>
  <c r="U263" i="15"/>
  <c r="AI227" i="15"/>
  <c r="K35" i="15"/>
  <c r="Q227" i="15"/>
  <c r="M236" i="15" s="1"/>
  <c r="U211" i="15"/>
  <c r="O38" i="5"/>
  <c r="N38" i="5"/>
  <c r="M38" i="5"/>
  <c r="L38" i="5"/>
  <c r="O37" i="5"/>
  <c r="O15" i="5" s="1"/>
  <c r="N37" i="5"/>
  <c r="N15" i="5" s="1"/>
  <c r="M37" i="5"/>
  <c r="M15" i="5" s="1"/>
  <c r="L37" i="5"/>
  <c r="L15" i="5" s="1"/>
  <c r="O36" i="5"/>
  <c r="O14" i="5" s="1"/>
  <c r="N36" i="5"/>
  <c r="N14" i="5" s="1"/>
  <c r="M36" i="5"/>
  <c r="M14" i="5" s="1"/>
  <c r="L36" i="5"/>
  <c r="L14" i="5" s="1"/>
  <c r="O35" i="5"/>
  <c r="N35" i="5"/>
  <c r="M35" i="5"/>
  <c r="L35" i="5"/>
  <c r="O34" i="5"/>
  <c r="O12" i="5" s="1"/>
  <c r="N34" i="5"/>
  <c r="N12" i="5" s="1"/>
  <c r="M34" i="5"/>
  <c r="M12" i="5" s="1"/>
  <c r="L34" i="5"/>
  <c r="L12" i="5" s="1"/>
  <c r="O33" i="5"/>
  <c r="N33" i="5"/>
  <c r="M33" i="5"/>
  <c r="L33" i="5"/>
  <c r="O32" i="5"/>
  <c r="O10" i="5" s="1"/>
  <c r="N32" i="5"/>
  <c r="N10" i="5" s="1"/>
  <c r="M32" i="5"/>
  <c r="M10" i="5" s="1"/>
  <c r="L32" i="5"/>
  <c r="L10" i="5" s="1"/>
  <c r="K38" i="5"/>
  <c r="K37" i="5"/>
  <c r="K15" i="5" s="1"/>
  <c r="K36" i="5"/>
  <c r="K14" i="5" s="1"/>
  <c r="K35" i="5"/>
  <c r="K34" i="5"/>
  <c r="K12" i="5" s="1"/>
  <c r="K33" i="5"/>
  <c r="K32" i="5"/>
  <c r="K10" i="5" s="1"/>
  <c r="M58" i="5"/>
  <c r="K57" i="5"/>
  <c r="K59" i="5"/>
  <c r="L58" i="5"/>
  <c r="K51" i="5"/>
  <c r="K58" i="5"/>
  <c r="O59" i="5"/>
  <c r="O57" i="5"/>
  <c r="K50" i="5"/>
  <c r="K9" i="5" s="1"/>
  <c r="O58" i="5"/>
  <c r="N58" i="5"/>
  <c r="N59" i="5"/>
  <c r="N57" i="5"/>
  <c r="K44" i="5"/>
  <c r="M59" i="5"/>
  <c r="M57" i="5"/>
  <c r="L59" i="5"/>
  <c r="L57" i="5"/>
  <c r="T43" i="5"/>
  <c r="U43" i="5" s="1"/>
  <c r="T41" i="5"/>
  <c r="U41" i="5" s="1"/>
  <c r="T29" i="5"/>
  <c r="U29" i="5" s="1"/>
  <c r="T16" i="5"/>
  <c r="U16" i="5" s="1"/>
  <c r="T24" i="5"/>
  <c r="U24" i="5" s="1"/>
  <c r="T35" i="5"/>
  <c r="U35" i="5" s="1"/>
  <c r="T46" i="5"/>
  <c r="U46" i="5" s="1"/>
  <c r="T37" i="5"/>
  <c r="U37" i="5" s="1"/>
  <c r="T42" i="5"/>
  <c r="U42" i="5" s="1"/>
  <c r="T25" i="5"/>
  <c r="U25" i="5" s="1"/>
  <c r="T47" i="5"/>
  <c r="U47" i="5" s="1"/>
  <c r="T30" i="5"/>
  <c r="U30" i="5" s="1"/>
  <c r="T34" i="5"/>
  <c r="U34" i="5" s="1"/>
  <c r="T17" i="5"/>
  <c r="U17" i="5" s="1"/>
  <c r="T39" i="5"/>
  <c r="U39" i="5" s="1"/>
  <c r="T22" i="5"/>
  <c r="U22" i="5" s="1"/>
  <c r="T44" i="5"/>
  <c r="U44" i="5" s="1"/>
  <c r="T26" i="5"/>
  <c r="U26" i="5" s="1"/>
  <c r="T31" i="5"/>
  <c r="U31" i="5" s="1"/>
  <c r="T36" i="5"/>
  <c r="U36" i="5" s="1"/>
  <c r="T19" i="5"/>
  <c r="U19" i="5" s="1"/>
  <c r="T21" i="5"/>
  <c r="U21" i="5" s="1"/>
  <c r="T18" i="5"/>
  <c r="U18" i="5" s="1"/>
  <c r="T40" i="5"/>
  <c r="U40" i="5" s="1"/>
  <c r="T23" i="5"/>
  <c r="U23" i="5" s="1"/>
  <c r="T27" i="5"/>
  <c r="U27" i="5" s="1"/>
  <c r="T28" i="5"/>
  <c r="U28" i="5" s="1"/>
  <c r="T33" i="5"/>
  <c r="U33" i="5" s="1"/>
  <c r="T38" i="5"/>
  <c r="U38" i="5" s="1"/>
  <c r="T32" i="5"/>
  <c r="U32" i="5" s="1"/>
  <c r="T45" i="5"/>
  <c r="U45" i="5" s="1"/>
  <c r="J58" i="1"/>
  <c r="I10" i="16" s="1"/>
  <c r="R23" i="9"/>
  <c r="A64" i="9"/>
  <c r="N29" i="9"/>
  <c r="A93" i="9"/>
  <c r="A100" i="9"/>
  <c r="A65" i="9"/>
  <c r="A58" i="9"/>
  <c r="H36" i="4"/>
  <c r="R21" i="9"/>
  <c r="P119" i="10"/>
  <c r="M250" i="15"/>
  <c r="AE248" i="15"/>
  <c r="AG248" i="15" s="1"/>
  <c r="AE240" i="15"/>
  <c r="AE232" i="15"/>
  <c r="AG232" i="15" s="1"/>
  <c r="AE247" i="15"/>
  <c r="AE239" i="15"/>
  <c r="AE231" i="15"/>
  <c r="AE246" i="15"/>
  <c r="AE238" i="15"/>
  <c r="AE230" i="15"/>
  <c r="AG230" i="15" s="1"/>
  <c r="AE245" i="15"/>
  <c r="AE237" i="15"/>
  <c r="AE229" i="15"/>
  <c r="AE252" i="15"/>
  <c r="AE244" i="15"/>
  <c r="AE236" i="15"/>
  <c r="AE228" i="15"/>
  <c r="AE251" i="15"/>
  <c r="AG251" i="15" s="1"/>
  <c r="AE243" i="15"/>
  <c r="AE235" i="15"/>
  <c r="AE227" i="15"/>
  <c r="AG227" i="15" s="1"/>
  <c r="AE250" i="15"/>
  <c r="AE242" i="15"/>
  <c r="AE234" i="15"/>
  <c r="AE249" i="15"/>
  <c r="AE241" i="15"/>
  <c r="AE233" i="15"/>
  <c r="Y129" i="15"/>
  <c r="AC129" i="15" s="1"/>
  <c r="Y137" i="15"/>
  <c r="AC137" i="15" s="1"/>
  <c r="Y145" i="15"/>
  <c r="AC145" i="15" s="1"/>
  <c r="Y153" i="15"/>
  <c r="AC153" i="15" s="1"/>
  <c r="Y130" i="15"/>
  <c r="AC130" i="15" s="1"/>
  <c r="Y131" i="15"/>
  <c r="AC131" i="15" s="1"/>
  <c r="Y139" i="15"/>
  <c r="AC139" i="15" s="1"/>
  <c r="Y147" i="15"/>
  <c r="AC147" i="15" s="1"/>
  <c r="Y132" i="15"/>
  <c r="AC132" i="15" s="1"/>
  <c r="Y140" i="15"/>
  <c r="AC140" i="15" s="1"/>
  <c r="Y148" i="15"/>
  <c r="AC148" i="15" s="1"/>
  <c r="Y133" i="15"/>
  <c r="AC133" i="15" s="1"/>
  <c r="Y141" i="15"/>
  <c r="AC141" i="15" s="1"/>
  <c r="Y149" i="15"/>
  <c r="AC149" i="15" s="1"/>
  <c r="Y134" i="15"/>
  <c r="AC134" i="15" s="1"/>
  <c r="Y142" i="15"/>
  <c r="AC142" i="15" s="1"/>
  <c r="Y150" i="15"/>
  <c r="AC150" i="15" s="1"/>
  <c r="Y138" i="15"/>
  <c r="AC138" i="15" s="1"/>
  <c r="Y128" i="15"/>
  <c r="AC128" i="15" s="1"/>
  <c r="Y135" i="15"/>
  <c r="AC135" i="15" s="1"/>
  <c r="Y143" i="15"/>
  <c r="AC143" i="15" s="1"/>
  <c r="Y151" i="15"/>
  <c r="AC151" i="15" s="1"/>
  <c r="Y136" i="15"/>
  <c r="AC136" i="15" s="1"/>
  <c r="Y144" i="15"/>
  <c r="AC144" i="15" s="1"/>
  <c r="Y152" i="15"/>
  <c r="AC152" i="15" s="1"/>
  <c r="Y146" i="15"/>
  <c r="AC146" i="15" s="1"/>
  <c r="U212" i="15"/>
  <c r="U264" i="15"/>
  <c r="C164" i="15"/>
  <c r="M227" i="15"/>
  <c r="U160" i="15"/>
  <c r="U265" i="15"/>
  <c r="C214" i="15"/>
  <c r="U161" i="15"/>
  <c r="U214" i="15"/>
  <c r="U162" i="15"/>
  <c r="U215" i="15"/>
  <c r="C265" i="15"/>
  <c r="U163" i="15"/>
  <c r="U261" i="15"/>
  <c r="U262" i="15"/>
  <c r="C261" i="15"/>
  <c r="J204" i="15"/>
  <c r="I203" i="15" s="1"/>
  <c r="C211" i="15"/>
  <c r="C212" i="15"/>
  <c r="C264" i="15"/>
  <c r="C160" i="15"/>
  <c r="C213" i="15"/>
  <c r="C163" i="15"/>
  <c r="C262" i="15"/>
  <c r="Q38" i="5"/>
  <c r="R38" i="5" s="1"/>
  <c r="H54" i="5"/>
  <c r="Q42" i="5"/>
  <c r="R42" i="5" s="1"/>
  <c r="Q25" i="5"/>
  <c r="R25" i="5" s="1"/>
  <c r="Q47" i="5"/>
  <c r="R47" i="5" s="1"/>
  <c r="Q21" i="5"/>
  <c r="R21" i="5" s="1"/>
  <c r="Q34" i="5"/>
  <c r="R34" i="5" s="1"/>
  <c r="Q17" i="5"/>
  <c r="R17" i="5" s="1"/>
  <c r="Q39" i="5"/>
  <c r="R39" i="5" s="1"/>
  <c r="Q30" i="5"/>
  <c r="R30" i="5" s="1"/>
  <c r="Q28" i="5"/>
  <c r="R28" i="5" s="1"/>
  <c r="Q26" i="5"/>
  <c r="R26" i="5" s="1"/>
  <c r="Q31" i="5"/>
  <c r="R31" i="5" s="1"/>
  <c r="Q22" i="5"/>
  <c r="R22" i="5" s="1"/>
  <c r="H48" i="5"/>
  <c r="H105" i="5"/>
  <c r="Q43" i="5"/>
  <c r="R43" i="5" s="1"/>
  <c r="Q18" i="5"/>
  <c r="R18" i="5" s="1"/>
  <c r="Q44" i="5"/>
  <c r="R44" i="5" s="1"/>
  <c r="Q23" i="5"/>
  <c r="R23" i="5" s="1"/>
  <c r="Q35" i="5"/>
  <c r="R35" i="5" s="1"/>
  <c r="Q40" i="5"/>
  <c r="R40" i="5" s="1"/>
  <c r="Q45" i="5"/>
  <c r="R45" i="5" s="1"/>
  <c r="Q32" i="5"/>
  <c r="R32" i="5" s="1"/>
  <c r="Q36" i="5"/>
  <c r="R36" i="5" s="1"/>
  <c r="Q19" i="5"/>
  <c r="R19" i="5" s="1"/>
  <c r="Q41" i="5"/>
  <c r="R41" i="5" s="1"/>
  <c r="Q24" i="5"/>
  <c r="R24" i="5" s="1"/>
  <c r="Q29" i="5"/>
  <c r="R29" i="5" s="1"/>
  <c r="Q27" i="5"/>
  <c r="R27" i="5" s="1"/>
  <c r="Q20" i="5"/>
  <c r="R20" i="5" s="1"/>
  <c r="Q37" i="5"/>
  <c r="R37" i="5" s="1"/>
  <c r="Q33" i="5"/>
  <c r="R33" i="5" s="1"/>
  <c r="Q16" i="5"/>
  <c r="R16" i="5" s="1"/>
  <c r="Q46" i="5"/>
  <c r="R46" i="5" s="1"/>
  <c r="H121" i="10"/>
  <c r="L11" i="10"/>
  <c r="C53" i="15"/>
  <c r="L18" i="10"/>
  <c r="L119" i="10"/>
  <c r="H24" i="11"/>
  <c r="L103" i="10"/>
  <c r="L46" i="10"/>
  <c r="L63" i="10"/>
  <c r="L35" i="10"/>
  <c r="L76" i="10"/>
  <c r="C27" i="10"/>
  <c r="G14" i="11" s="1"/>
  <c r="G121" i="10"/>
  <c r="L89" i="10"/>
  <c r="L111" i="10"/>
  <c r="J121" i="10"/>
  <c r="H27" i="11"/>
  <c r="J19" i="4"/>
  <c r="H14" i="12" s="1"/>
  <c r="U56" i="15"/>
  <c r="U60" i="15" s="1"/>
  <c r="I18" i="14"/>
  <c r="I84" i="14"/>
  <c r="C56" i="15"/>
  <c r="E121" i="10"/>
  <c r="A57" i="9"/>
  <c r="R28" i="9"/>
  <c r="A92" i="9"/>
  <c r="A97" i="9"/>
  <c r="A95" i="9"/>
  <c r="R26" i="9"/>
  <c r="R24" i="9"/>
  <c r="R27" i="9"/>
  <c r="D33" i="9"/>
  <c r="N27" i="9"/>
  <c r="R25" i="9"/>
  <c r="J33" i="1"/>
  <c r="J102" i="1"/>
  <c r="J78" i="1"/>
  <c r="K35" i="1"/>
  <c r="K104" i="1"/>
  <c r="J34" i="1"/>
  <c r="J103" i="1"/>
  <c r="K32" i="1"/>
  <c r="K80" i="1"/>
  <c r="K77" i="1"/>
  <c r="Y10" i="2"/>
  <c r="K101" i="1"/>
  <c r="K79" i="1"/>
  <c r="AC235" i="15"/>
  <c r="AC243" i="15"/>
  <c r="K33" i="1"/>
  <c r="K54" i="1"/>
  <c r="J55" i="1"/>
  <c r="K102" i="1"/>
  <c r="J79" i="1"/>
  <c r="K55" i="1"/>
  <c r="J56" i="1"/>
  <c r="K34" i="1"/>
  <c r="K78" i="1"/>
  <c r="K56" i="1"/>
  <c r="K57" i="1"/>
  <c r="C114" i="15"/>
  <c r="Y12" i="2"/>
  <c r="U113" i="15"/>
  <c r="C112" i="15"/>
  <c r="C115" i="15"/>
  <c r="U114" i="15"/>
  <c r="C116" i="15"/>
  <c r="U115" i="15"/>
  <c r="U116" i="15"/>
  <c r="W36" i="15"/>
  <c r="E36" i="15"/>
  <c r="C113" i="15"/>
  <c r="U112" i="15"/>
  <c r="AG250" i="15"/>
  <c r="AF234" i="15"/>
  <c r="AG240" i="15"/>
  <c r="AG252" i="15"/>
  <c r="AG244" i="15"/>
  <c r="AG236" i="15"/>
  <c r="AF228" i="15"/>
  <c r="AF251" i="15"/>
  <c r="A61" i="9"/>
  <c r="A96" i="9"/>
  <c r="A91" i="9"/>
  <c r="N21" i="9"/>
  <c r="A56" i="9"/>
  <c r="R30" i="9"/>
  <c r="R22" i="9"/>
  <c r="E18" i="9"/>
  <c r="A60" i="9"/>
  <c r="N24" i="9"/>
  <c r="R29" i="9"/>
  <c r="R31" i="9"/>
  <c r="A94" i="9"/>
  <c r="C45" i="12"/>
  <c r="C46" i="12" s="1"/>
  <c r="C30" i="1"/>
  <c r="A33" i="1"/>
  <c r="J36" i="1"/>
  <c r="C31" i="1"/>
  <c r="A30" i="1"/>
  <c r="C33" i="1"/>
  <c r="C8" i="11"/>
  <c r="J81" i="1"/>
  <c r="K84" i="1" s="1"/>
  <c r="J105" i="1"/>
  <c r="F24" i="4"/>
  <c r="F34" i="4" s="1"/>
  <c r="AC229" i="15"/>
  <c r="AC233" i="15"/>
  <c r="AC237" i="15"/>
  <c r="AC241" i="15"/>
  <c r="AC245" i="15"/>
  <c r="AC249" i="15"/>
  <c r="U48" i="15"/>
  <c r="I35" i="14"/>
  <c r="I76" i="14"/>
  <c r="I46" i="14"/>
  <c r="I63" i="14"/>
  <c r="E87" i="14"/>
  <c r="I11" i="14"/>
  <c r="G87" i="14"/>
  <c r="E8" i="4"/>
  <c r="J8" i="4"/>
  <c r="J6" i="4"/>
  <c r="A19" i="9"/>
  <c r="A54" i="9" s="1"/>
  <c r="I37" i="11"/>
  <c r="R19" i="9"/>
  <c r="U127" i="16"/>
  <c r="R20" i="9"/>
  <c r="A90" i="9"/>
  <c r="A55" i="9"/>
  <c r="N20" i="9"/>
  <c r="J7" i="4"/>
  <c r="C48" i="15"/>
  <c r="A18" i="9"/>
  <c r="F20" i="4"/>
  <c r="O18" i="9"/>
  <c r="R18" i="9" s="1"/>
  <c r="F8" i="11"/>
  <c r="AC227" i="15"/>
  <c r="AC251" i="15"/>
  <c r="AG238" i="15"/>
  <c r="AG242" i="15"/>
  <c r="AG246" i="15"/>
  <c r="AB204" i="15"/>
  <c r="AC204" i="15" s="1"/>
  <c r="AF244" i="15"/>
  <c r="AF250" i="15"/>
  <c r="AC231" i="15"/>
  <c r="AC239" i="15"/>
  <c r="AC247" i="15"/>
  <c r="AB127" i="16"/>
  <c r="Z112" i="17"/>
  <c r="W127" i="16"/>
  <c r="Z114" i="17"/>
  <c r="AA127" i="16"/>
  <c r="X113" i="17"/>
  <c r="W27" i="17" s="1"/>
  <c r="Z127" i="16"/>
  <c r="Y130" i="16" s="1"/>
  <c r="W41" i="16" s="1"/>
  <c r="Y127" i="16"/>
  <c r="X130" i="16" s="1"/>
  <c r="W40" i="16" s="1"/>
  <c r="AB113" i="17"/>
  <c r="AD113" i="17"/>
  <c r="Y113" i="17"/>
  <c r="W28" i="17" s="1"/>
  <c r="AA113" i="17"/>
  <c r="W113" i="17"/>
  <c r="W26" i="17" s="1"/>
  <c r="G56" i="5"/>
  <c r="H107" i="5"/>
  <c r="H110" i="5" s="1"/>
  <c r="U19" i="9"/>
  <c r="U24" i="9" s="1"/>
  <c r="P117" i="10"/>
  <c r="X115" i="17" l="1"/>
  <c r="Y27" i="17" s="1"/>
  <c r="Y29" i="17"/>
  <c r="X114" i="17"/>
  <c r="X27" i="17" s="1"/>
  <c r="X29" i="17"/>
  <c r="AA112" i="17"/>
  <c r="V29" i="17"/>
  <c r="W130" i="16"/>
  <c r="W39" i="16" s="1"/>
  <c r="U40" i="16"/>
  <c r="V130" i="16"/>
  <c r="W38" i="16" s="1"/>
  <c r="U38" i="16"/>
  <c r="I263" i="15"/>
  <c r="M232" i="15"/>
  <c r="N232" i="15" s="1"/>
  <c r="M237" i="15"/>
  <c r="O237" i="15" s="1"/>
  <c r="M230" i="15"/>
  <c r="M244" i="15"/>
  <c r="N244" i="15" s="1"/>
  <c r="M231" i="15"/>
  <c r="O231" i="15" s="1"/>
  <c r="M239" i="15"/>
  <c r="M241" i="15"/>
  <c r="O241" i="15" s="1"/>
  <c r="M240" i="15"/>
  <c r="O240" i="15" s="1"/>
  <c r="I215" i="15"/>
  <c r="I212" i="15"/>
  <c r="K204" i="15"/>
  <c r="K203" i="15" s="1"/>
  <c r="D13" i="12"/>
  <c r="D18" i="12" s="1"/>
  <c r="D21" i="12" s="1"/>
  <c r="D23" i="12" s="1"/>
  <c r="D26" i="12" s="1"/>
  <c r="E112" i="10"/>
  <c r="G15" i="11" s="1"/>
  <c r="D95" i="1"/>
  <c r="D96" i="1" s="1"/>
  <c r="AA164" i="15"/>
  <c r="K58" i="1"/>
  <c r="O108" i="10"/>
  <c r="C13" i="12"/>
  <c r="C18" i="12" s="1"/>
  <c r="C21" i="12" s="1"/>
  <c r="C23" i="12" s="1"/>
  <c r="C26" i="12" s="1"/>
  <c r="H37" i="4"/>
  <c r="L11" i="5"/>
  <c r="M246" i="15"/>
  <c r="M247" i="15"/>
  <c r="O247" i="15" s="1"/>
  <c r="M243" i="15"/>
  <c r="N243" i="15" s="1"/>
  <c r="M249" i="15"/>
  <c r="O249" i="15" s="1"/>
  <c r="AA263" i="15"/>
  <c r="I261" i="15"/>
  <c r="I214" i="15"/>
  <c r="M238" i="15"/>
  <c r="O238" i="15" s="1"/>
  <c r="M235" i="15"/>
  <c r="N235" i="15" s="1"/>
  <c r="M229" i="15"/>
  <c r="N229" i="15" s="1"/>
  <c r="M245" i="15"/>
  <c r="N245" i="15" s="1"/>
  <c r="M242" i="15"/>
  <c r="N242" i="15" s="1"/>
  <c r="M251" i="15"/>
  <c r="O251" i="15" s="1"/>
  <c r="AA211" i="15"/>
  <c r="AA215" i="15"/>
  <c r="I211" i="15"/>
  <c r="M233" i="15"/>
  <c r="O233" i="15" s="1"/>
  <c r="M234" i="15"/>
  <c r="M228" i="15"/>
  <c r="O228" i="15" s="1"/>
  <c r="M252" i="15"/>
  <c r="AA262" i="15"/>
  <c r="I264" i="15"/>
  <c r="M248" i="15"/>
  <c r="N248" i="15" s="1"/>
  <c r="O16" i="5"/>
  <c r="M11" i="5"/>
  <c r="M13" i="5"/>
  <c r="N16" i="5"/>
  <c r="K16" i="5"/>
  <c r="O13" i="5"/>
  <c r="N11" i="5"/>
  <c r="L13" i="5"/>
  <c r="N13" i="5"/>
  <c r="L16" i="5"/>
  <c r="O11" i="5"/>
  <c r="M16" i="5"/>
  <c r="K11" i="5"/>
  <c r="K13" i="5"/>
  <c r="H55" i="5"/>
  <c r="Q8" i="5"/>
  <c r="R8" i="5" s="1"/>
  <c r="K61" i="1"/>
  <c r="I164" i="15"/>
  <c r="P123" i="10"/>
  <c r="AA162" i="15"/>
  <c r="P116" i="10"/>
  <c r="P114" i="10"/>
  <c r="AA160" i="15"/>
  <c r="AA161" i="15"/>
  <c r="I265" i="15"/>
  <c r="AA163" i="15"/>
  <c r="I262" i="15"/>
  <c r="I213" i="15"/>
  <c r="I163" i="15"/>
  <c r="I160" i="15"/>
  <c r="H112" i="5"/>
  <c r="H113" i="5" s="1"/>
  <c r="H56" i="5"/>
  <c r="H57" i="5" s="1"/>
  <c r="C5" i="9" s="1"/>
  <c r="D5" i="9" s="1"/>
  <c r="H49" i="5"/>
  <c r="F55" i="5" s="1"/>
  <c r="I114" i="15"/>
  <c r="I29" i="11"/>
  <c r="I32" i="11" s="1"/>
  <c r="I38" i="11" s="1"/>
  <c r="G16" i="11" s="1"/>
  <c r="L121" i="10"/>
  <c r="H12" i="12" s="1"/>
  <c r="P121" i="10"/>
  <c r="H112" i="10"/>
  <c r="O109" i="10" s="1"/>
  <c r="O110" i="10" s="1"/>
  <c r="I87" i="14"/>
  <c r="G89" i="14" s="1"/>
  <c r="P125" i="10"/>
  <c r="Z48" i="15"/>
  <c r="Z50" i="15" s="1"/>
  <c r="P126" i="10"/>
  <c r="P124" i="10"/>
  <c r="C60" i="15"/>
  <c r="H48" i="15" s="1"/>
  <c r="E20" i="4"/>
  <c r="E36" i="4" s="1"/>
  <c r="K36" i="1"/>
  <c r="K81" i="1"/>
  <c r="K105" i="1"/>
  <c r="Y14" i="2"/>
  <c r="Z9" i="2" s="1"/>
  <c r="AA115" i="15"/>
  <c r="I113" i="15"/>
  <c r="AA116" i="15"/>
  <c r="I112" i="15"/>
  <c r="I115" i="15"/>
  <c r="AA113" i="15"/>
  <c r="AA114" i="15"/>
  <c r="AA112" i="15"/>
  <c r="I116" i="15"/>
  <c r="K62" i="1"/>
  <c r="F62" i="1"/>
  <c r="AF236" i="15"/>
  <c r="AH236" i="15" s="1"/>
  <c r="AG234" i="15"/>
  <c r="AH234" i="15" s="1"/>
  <c r="AG228" i="15"/>
  <c r="AH228" i="15" s="1"/>
  <c r="AH244" i="15"/>
  <c r="AF252" i="15"/>
  <c r="AH252" i="15" s="1"/>
  <c r="F18" i="9"/>
  <c r="E33" i="9"/>
  <c r="F61" i="1"/>
  <c r="C28" i="1"/>
  <c r="C27" i="12" s="1"/>
  <c r="F85" i="1"/>
  <c r="F84" i="1"/>
  <c r="K85" i="1"/>
  <c r="K109" i="1"/>
  <c r="K108" i="1"/>
  <c r="F109" i="1"/>
  <c r="K40" i="1"/>
  <c r="K39" i="1"/>
  <c r="F40" i="1"/>
  <c r="F39" i="1"/>
  <c r="J24" i="4"/>
  <c r="J34" i="4" s="1"/>
  <c r="I10" i="17"/>
  <c r="D50" i="1"/>
  <c r="F108" i="1"/>
  <c r="J20" i="4"/>
  <c r="H13" i="12" s="1"/>
  <c r="U130" i="16"/>
  <c r="A89" i="9"/>
  <c r="AC112" i="17"/>
  <c r="Y112" i="17"/>
  <c r="V28" i="17" s="1"/>
  <c r="Y115" i="17"/>
  <c r="Y28" i="17" s="1"/>
  <c r="AC115" i="17"/>
  <c r="AC255" i="15"/>
  <c r="AC257" i="15" s="1"/>
  <c r="Z270" i="15" s="1"/>
  <c r="A88" i="9"/>
  <c r="A53" i="9"/>
  <c r="E86" i="11"/>
  <c r="F36" i="4"/>
  <c r="AC154" i="15"/>
  <c r="AC156" i="15" s="1"/>
  <c r="Z169" i="15" s="1"/>
  <c r="AH250" i="15"/>
  <c r="AF227" i="15"/>
  <c r="AH227" i="15" s="1"/>
  <c r="AF237" i="15"/>
  <c r="AG237" i="15"/>
  <c r="O246" i="15"/>
  <c r="N246" i="15"/>
  <c r="N237" i="15"/>
  <c r="AF242" i="15"/>
  <c r="AH242" i="15" s="1"/>
  <c r="AF235" i="15"/>
  <c r="AG235" i="15"/>
  <c r="N230" i="15"/>
  <c r="O230" i="15"/>
  <c r="O248" i="15"/>
  <c r="O243" i="15"/>
  <c r="AF240" i="15"/>
  <c r="AH240" i="15" s="1"/>
  <c r="AF249" i="15"/>
  <c r="AG249" i="15"/>
  <c r="AF233" i="15"/>
  <c r="AG233" i="15"/>
  <c r="O232" i="15"/>
  <c r="AF238" i="15"/>
  <c r="AH238" i="15" s="1"/>
  <c r="AF247" i="15"/>
  <c r="AG247" i="15"/>
  <c r="AF231" i="15"/>
  <c r="AG231" i="15"/>
  <c r="N236" i="15"/>
  <c r="O236" i="15"/>
  <c r="N228" i="15"/>
  <c r="AF245" i="15"/>
  <c r="AG245" i="15"/>
  <c r="AF229" i="15"/>
  <c r="AG229" i="15"/>
  <c r="O250" i="15"/>
  <c r="N250" i="15"/>
  <c r="AF243" i="15"/>
  <c r="AG243" i="15"/>
  <c r="N240" i="15"/>
  <c r="AF248" i="15"/>
  <c r="AH248" i="15" s="1"/>
  <c r="AF232" i="15"/>
  <c r="AH232" i="15" s="1"/>
  <c r="AF241" i="15"/>
  <c r="AG241" i="15"/>
  <c r="O227" i="15"/>
  <c r="N227" i="15"/>
  <c r="N234" i="15"/>
  <c r="O234" i="15"/>
  <c r="N239" i="15"/>
  <c r="O239" i="15"/>
  <c r="AF246" i="15"/>
  <c r="AH246" i="15" s="1"/>
  <c r="AF230" i="15"/>
  <c r="AH230" i="15" s="1"/>
  <c r="AF239" i="15"/>
  <c r="AG239" i="15"/>
  <c r="N249" i="15"/>
  <c r="O244" i="15"/>
  <c r="AH251" i="15"/>
  <c r="AC203" i="15"/>
  <c r="AA203" i="15"/>
  <c r="AD114" i="17"/>
  <c r="AA114" i="17"/>
  <c r="X112" i="17"/>
  <c r="V27" i="17" s="1"/>
  <c r="AB112" i="17"/>
  <c r="AD112" i="17"/>
  <c r="Y114" i="17"/>
  <c r="X28" i="17" s="1"/>
  <c r="AB114" i="17"/>
  <c r="AC114" i="17"/>
  <c r="W114" i="17"/>
  <c r="X26" i="17" s="1"/>
  <c r="W112" i="17"/>
  <c r="V26" i="17" s="1"/>
  <c r="AA115" i="17"/>
  <c r="W115" i="17"/>
  <c r="Y26" i="17" s="1"/>
  <c r="AD115" i="17"/>
  <c r="AB115" i="17"/>
  <c r="C13" i="9"/>
  <c r="C14" i="9" s="1"/>
  <c r="U21" i="9"/>
  <c r="V24" i="9" s="1"/>
  <c r="N241" i="15" l="1"/>
  <c r="P241" i="15" s="1"/>
  <c r="N238" i="15"/>
  <c r="P238" i="15" s="1"/>
  <c r="O242" i="15"/>
  <c r="P242" i="15" s="1"/>
  <c r="N231" i="15"/>
  <c r="P231" i="15" s="1"/>
  <c r="O235" i="15"/>
  <c r="N247" i="15"/>
  <c r="P247" i="15" s="1"/>
  <c r="O229" i="15"/>
  <c r="P229" i="15" s="1"/>
  <c r="N233" i="15"/>
  <c r="O245" i="15"/>
  <c r="P245" i="15" s="1"/>
  <c r="Q14" i="5"/>
  <c r="R14" i="5" s="1"/>
  <c r="T15" i="5"/>
  <c r="Q15" i="5"/>
  <c r="R15" i="5" s="1"/>
  <c r="T14" i="5"/>
  <c r="Q13" i="5"/>
  <c r="R13" i="5" s="1"/>
  <c r="T13" i="5"/>
  <c r="T12" i="5"/>
  <c r="T10" i="5"/>
  <c r="T9" i="5"/>
  <c r="Q11" i="5"/>
  <c r="R11" i="5" s="1"/>
  <c r="T11" i="5"/>
  <c r="Q10" i="5"/>
  <c r="R10" i="5" s="1"/>
  <c r="Q12" i="5"/>
  <c r="R12" i="5" s="1"/>
  <c r="Q9" i="5"/>
  <c r="R9" i="5" s="1"/>
  <c r="T8" i="5"/>
  <c r="Q7" i="5"/>
  <c r="R7" i="5" s="1"/>
  <c r="T7" i="5"/>
  <c r="U7" i="5" s="1"/>
  <c r="H15" i="12"/>
  <c r="H18" i="12" s="1"/>
  <c r="H19" i="12" s="1"/>
  <c r="C28" i="12"/>
  <c r="C29" i="12" s="1"/>
  <c r="AC266" i="15"/>
  <c r="Z271" i="15" s="1"/>
  <c r="AC272" i="15" s="1"/>
  <c r="AC216" i="15"/>
  <c r="Z221" i="15" s="1"/>
  <c r="K216" i="15"/>
  <c r="H221" i="15" s="1"/>
  <c r="N251" i="15"/>
  <c r="P251" i="15" s="1"/>
  <c r="O252" i="15"/>
  <c r="N252" i="15"/>
  <c r="K266" i="15"/>
  <c r="H271" i="15" s="1"/>
  <c r="AC165" i="15"/>
  <c r="Z170" i="15" s="1"/>
  <c r="AC171" i="15" s="1"/>
  <c r="O10" i="10"/>
  <c r="O8" i="10"/>
  <c r="O9" i="10"/>
  <c r="H42" i="11"/>
  <c r="G65" i="5"/>
  <c r="P118" i="10"/>
  <c r="J7" i="10"/>
  <c r="Z13" i="2"/>
  <c r="E89" i="14"/>
  <c r="AC205" i="15"/>
  <c r="AC207" i="15" s="1"/>
  <c r="Z220" i="15" s="1"/>
  <c r="Z49" i="15"/>
  <c r="K205" i="15"/>
  <c r="K207" i="15" s="1"/>
  <c r="H220" i="15" s="1"/>
  <c r="H49" i="15"/>
  <c r="H50" i="15"/>
  <c r="P115" i="10"/>
  <c r="Z11" i="2"/>
  <c r="P122" i="10"/>
  <c r="Z8" i="2"/>
  <c r="E7" i="10"/>
  <c r="Z12" i="2"/>
  <c r="Z10" i="2"/>
  <c r="P244" i="15"/>
  <c r="P239" i="15"/>
  <c r="P246" i="15"/>
  <c r="G18" i="9"/>
  <c r="F33" i="9"/>
  <c r="AC117" i="15"/>
  <c r="D27" i="12"/>
  <c r="D28" i="12" s="1"/>
  <c r="D29" i="12" s="1"/>
  <c r="J36" i="4"/>
  <c r="J37" i="4" s="1"/>
  <c r="P230" i="15"/>
  <c r="P236" i="15"/>
  <c r="P243" i="15"/>
  <c r="P240" i="15"/>
  <c r="P233" i="15"/>
  <c r="P250" i="15"/>
  <c r="P248" i="15"/>
  <c r="AH243" i="15"/>
  <c r="AH231" i="15"/>
  <c r="AH245" i="15"/>
  <c r="AH239" i="15"/>
  <c r="AH241" i="15"/>
  <c r="AH229" i="15"/>
  <c r="AH235" i="15"/>
  <c r="P232" i="15"/>
  <c r="P237" i="15"/>
  <c r="AH233" i="15"/>
  <c r="P249" i="15"/>
  <c r="P234" i="15"/>
  <c r="P228" i="15"/>
  <c r="AH247" i="15"/>
  <c r="P227" i="15"/>
  <c r="AH249" i="15"/>
  <c r="P235" i="15"/>
  <c r="AH237" i="15"/>
  <c r="K117" i="15"/>
  <c r="H122" i="15" s="1"/>
  <c r="H43" i="11"/>
  <c r="C16" i="9"/>
  <c r="C34" i="9" s="1"/>
  <c r="D13" i="9"/>
  <c r="E13" i="9" s="1"/>
  <c r="E5" i="9"/>
  <c r="I128" i="15" l="1"/>
  <c r="I129" i="15"/>
  <c r="I228" i="15"/>
  <c r="K228" i="15" s="1"/>
  <c r="I227" i="15"/>
  <c r="K227" i="15" s="1"/>
  <c r="P252" i="15"/>
  <c r="J254" i="15" s="1"/>
  <c r="K254" i="15" s="1"/>
  <c r="J253" i="15" s="1"/>
  <c r="U10" i="5"/>
  <c r="U13" i="5"/>
  <c r="U8" i="5"/>
  <c r="U12" i="5"/>
  <c r="U14" i="5"/>
  <c r="U11" i="5"/>
  <c r="U15" i="5"/>
  <c r="U9" i="5"/>
  <c r="D30" i="12"/>
  <c r="H32" i="12" s="1"/>
  <c r="AC222" i="15"/>
  <c r="K222" i="15"/>
  <c r="AB254" i="15"/>
  <c r="AC254" i="15" s="1"/>
  <c r="I45" i="11"/>
  <c r="I50" i="11" s="1"/>
  <c r="I51" i="11" s="1"/>
  <c r="G19" i="11" s="1"/>
  <c r="E90" i="11" s="1"/>
  <c r="K83" i="15"/>
  <c r="K105" i="15"/>
  <c r="K80" i="15"/>
  <c r="K94" i="15"/>
  <c r="K69" i="15"/>
  <c r="K100" i="15"/>
  <c r="K75" i="15"/>
  <c r="K97" i="15"/>
  <c r="K72" i="15"/>
  <c r="K86" i="15"/>
  <c r="K91" i="15"/>
  <c r="K88" i="15"/>
  <c r="K102" i="15"/>
  <c r="K92" i="15"/>
  <c r="K67" i="15"/>
  <c r="K89" i="15"/>
  <c r="K103" i="15"/>
  <c r="K78" i="15"/>
  <c r="K84" i="15"/>
  <c r="K98" i="15"/>
  <c r="K81" i="15"/>
  <c r="K95" i="15"/>
  <c r="K70" i="15"/>
  <c r="K104" i="15"/>
  <c r="K76" i="15"/>
  <c r="K90" i="15"/>
  <c r="K73" i="15"/>
  <c r="K87" i="15"/>
  <c r="K101" i="15"/>
  <c r="K68" i="15"/>
  <c r="K82" i="15"/>
  <c r="K79" i="15"/>
  <c r="K93" i="15"/>
  <c r="K99" i="15"/>
  <c r="K74" i="15"/>
  <c r="K96" i="15"/>
  <c r="K71" i="15"/>
  <c r="K85" i="15"/>
  <c r="K66" i="15"/>
  <c r="K77" i="15"/>
  <c r="AC100" i="15"/>
  <c r="AC75" i="15"/>
  <c r="AC97" i="15"/>
  <c r="AC72" i="15"/>
  <c r="AC86" i="15"/>
  <c r="AC92" i="15"/>
  <c r="AC67" i="15"/>
  <c r="AC89" i="15"/>
  <c r="AC103" i="15"/>
  <c r="AC78" i="15"/>
  <c r="AC69" i="15"/>
  <c r="AC83" i="15"/>
  <c r="AC94" i="15"/>
  <c r="AC84" i="15"/>
  <c r="AC98" i="15"/>
  <c r="AC81" i="15"/>
  <c r="AC95" i="15"/>
  <c r="AC70" i="15"/>
  <c r="AC101" i="15"/>
  <c r="AC76" i="15"/>
  <c r="AC90" i="15"/>
  <c r="AC73" i="15"/>
  <c r="AC87" i="15"/>
  <c r="AC85" i="15"/>
  <c r="AC93" i="15"/>
  <c r="AC68" i="15"/>
  <c r="AC82" i="15"/>
  <c r="AC104" i="15"/>
  <c r="AC79" i="15"/>
  <c r="AC99" i="15"/>
  <c r="AC74" i="15"/>
  <c r="AC96" i="15"/>
  <c r="AC71" i="15"/>
  <c r="AC105" i="15"/>
  <c r="AC77" i="15"/>
  <c r="AC91" i="15"/>
  <c r="AC66" i="15"/>
  <c r="AC88" i="15"/>
  <c r="AC102" i="15"/>
  <c r="AC80" i="15"/>
  <c r="I44" i="11"/>
  <c r="G17" i="11" s="1"/>
  <c r="Z122" i="15"/>
  <c r="AB253" i="15"/>
  <c r="G33" i="9"/>
  <c r="H18" i="9"/>
  <c r="F37" i="4"/>
  <c r="C35" i="9"/>
  <c r="C36" i="9" s="1"/>
  <c r="D14" i="9"/>
  <c r="D16" i="9" s="1"/>
  <c r="D34" i="9" s="1"/>
  <c r="E14" i="9"/>
  <c r="E16" i="9" s="1"/>
  <c r="E34" i="9" s="1"/>
  <c r="F13" i="9"/>
  <c r="F5" i="9"/>
  <c r="K255" i="15" l="1"/>
  <c r="K257" i="15" s="1"/>
  <c r="H270" i="15" s="1"/>
  <c r="K272" i="15" s="1"/>
  <c r="I47" i="11"/>
  <c r="G18" i="11" s="1"/>
  <c r="K106" i="15"/>
  <c r="K108" i="15" s="1"/>
  <c r="H121" i="15" s="1"/>
  <c r="K123" i="15" s="1"/>
  <c r="AC106" i="15"/>
  <c r="AC108" i="15" s="1"/>
  <c r="Z121" i="15" s="1"/>
  <c r="AC123" i="15" s="1"/>
  <c r="H33" i="9"/>
  <c r="I18" i="9"/>
  <c r="D35" i="9"/>
  <c r="D36" i="9" s="1"/>
  <c r="G5" i="9"/>
  <c r="G13" i="9"/>
  <c r="F14" i="9"/>
  <c r="F16" i="9" s="1"/>
  <c r="F34" i="9" s="1"/>
  <c r="E35" i="9"/>
  <c r="E36" i="9" s="1"/>
  <c r="I33" i="9" l="1"/>
  <c r="J18" i="9"/>
  <c r="F35" i="9"/>
  <c r="F36" i="9" s="1"/>
  <c r="G14" i="9"/>
  <c r="G16" i="9" s="1"/>
  <c r="G34" i="9" s="1"/>
  <c r="H13" i="9"/>
  <c r="H5" i="9"/>
  <c r="K18" i="9" l="1"/>
  <c r="J33" i="9"/>
  <c r="I13" i="9"/>
  <c r="H14" i="9"/>
  <c r="H16" i="9" s="1"/>
  <c r="H34" i="9" s="1"/>
  <c r="G35" i="9"/>
  <c r="G36" i="9" s="1"/>
  <c r="I5" i="9"/>
  <c r="K33" i="9" l="1"/>
  <c r="L18" i="9"/>
  <c r="H35" i="9"/>
  <c r="H36" i="9" s="1"/>
  <c r="J5" i="9"/>
  <c r="J13" i="9"/>
  <c r="I14" i="9"/>
  <c r="I16" i="9" s="1"/>
  <c r="I34" i="9" s="1"/>
  <c r="L33" i="9" l="1"/>
  <c r="C53" i="9"/>
  <c r="I35" i="9"/>
  <c r="I36" i="9" s="1"/>
  <c r="J14" i="9"/>
  <c r="J16" i="9" s="1"/>
  <c r="J34" i="9" s="1"/>
  <c r="K13" i="9"/>
  <c r="K5" i="9"/>
  <c r="C68" i="9" l="1"/>
  <c r="D53" i="9"/>
  <c r="L5" i="9"/>
  <c r="J35" i="9"/>
  <c r="J36" i="9" s="1"/>
  <c r="L13" i="9"/>
  <c r="K14" i="9"/>
  <c r="K16" i="9" s="1"/>
  <c r="K34" i="9" s="1"/>
  <c r="E53" i="9" l="1"/>
  <c r="D68" i="9"/>
  <c r="K35" i="9"/>
  <c r="K36" i="9" s="1"/>
  <c r="L14" i="9"/>
  <c r="L16" i="9" s="1"/>
  <c r="L34" i="9" s="1"/>
  <c r="C48" i="9"/>
  <c r="C40" i="9"/>
  <c r="E68" i="9" l="1"/>
  <c r="F53" i="9"/>
  <c r="D40" i="9"/>
  <c r="L35" i="9"/>
  <c r="L36" i="9" s="1"/>
  <c r="D48" i="9"/>
  <c r="C49" i="9"/>
  <c r="C51" i="9" s="1"/>
  <c r="C69" i="9" s="1"/>
  <c r="G53" i="9" l="1"/>
  <c r="F68" i="9"/>
  <c r="C70" i="9"/>
  <c r="C71" i="9" s="1"/>
  <c r="D49" i="9"/>
  <c r="D51" i="9" s="1"/>
  <c r="D69" i="9" s="1"/>
  <c r="E48" i="9"/>
  <c r="E40" i="9"/>
  <c r="G68" i="9" l="1"/>
  <c r="H53" i="9"/>
  <c r="F40" i="9"/>
  <c r="D70" i="9"/>
  <c r="D71" i="9" s="1"/>
  <c r="E49" i="9"/>
  <c r="E51" i="9" s="1"/>
  <c r="E69" i="9" s="1"/>
  <c r="F48" i="9"/>
  <c r="I53" i="9" l="1"/>
  <c r="H68" i="9"/>
  <c r="E70" i="9"/>
  <c r="E71" i="9" s="1"/>
  <c r="F49" i="9"/>
  <c r="F51" i="9" s="1"/>
  <c r="F69" i="9" s="1"/>
  <c r="G48" i="9"/>
  <c r="G40" i="9"/>
  <c r="I68" i="9" l="1"/>
  <c r="J53" i="9"/>
  <c r="F70" i="9"/>
  <c r="F71" i="9" s="1"/>
  <c r="H40" i="9"/>
  <c r="H48" i="9"/>
  <c r="G49" i="9"/>
  <c r="G51" i="9" s="1"/>
  <c r="G69" i="9" s="1"/>
  <c r="J68" i="9" l="1"/>
  <c r="K53" i="9"/>
  <c r="G70" i="9"/>
  <c r="G71" i="9" s="1"/>
  <c r="H49" i="9"/>
  <c r="H51" i="9" s="1"/>
  <c r="H69" i="9" s="1"/>
  <c r="I48" i="9"/>
  <c r="I40" i="9"/>
  <c r="L53" i="9" l="1"/>
  <c r="K68" i="9"/>
  <c r="J40" i="9"/>
  <c r="H70" i="9"/>
  <c r="H71" i="9" s="1"/>
  <c r="J48" i="9"/>
  <c r="I49" i="9"/>
  <c r="I51" i="9" s="1"/>
  <c r="I69" i="9" s="1"/>
  <c r="L68" i="9" l="1"/>
  <c r="C88" i="9"/>
  <c r="I70" i="9"/>
  <c r="I71" i="9" s="1"/>
  <c r="J49" i="9"/>
  <c r="J51" i="9" s="1"/>
  <c r="J69" i="9" s="1"/>
  <c r="K48" i="9"/>
  <c r="K40" i="9"/>
  <c r="D88" i="9" l="1"/>
  <c r="C103" i="9"/>
  <c r="J70" i="9"/>
  <c r="J71" i="9" s="1"/>
  <c r="L40" i="9"/>
  <c r="L48" i="9"/>
  <c r="K49" i="9"/>
  <c r="K51" i="9" s="1"/>
  <c r="K69" i="9" s="1"/>
  <c r="D103" i="9" l="1"/>
  <c r="E88" i="9"/>
  <c r="K70" i="9"/>
  <c r="K71" i="9" s="1"/>
  <c r="C83" i="9"/>
  <c r="L49" i="9"/>
  <c r="L51" i="9" s="1"/>
  <c r="L69" i="9" s="1"/>
  <c r="C75" i="9"/>
  <c r="E87" i="11" l="1"/>
  <c r="E88" i="11"/>
  <c r="E103" i="9"/>
  <c r="F88" i="9"/>
  <c r="L70" i="9"/>
  <c r="L71" i="9" s="1"/>
  <c r="D75" i="9"/>
  <c r="C84" i="9"/>
  <c r="C86" i="9" s="1"/>
  <c r="C104" i="9" s="1"/>
  <c r="D83" i="9"/>
  <c r="G88" i="9" l="1"/>
  <c r="F103" i="9"/>
  <c r="C105" i="9"/>
  <c r="C106" i="9" s="1"/>
  <c r="E83" i="9"/>
  <c r="D84" i="9"/>
  <c r="D86" i="9" s="1"/>
  <c r="D104" i="9" s="1"/>
  <c r="E75" i="9"/>
  <c r="G103" i="9" l="1"/>
  <c r="H88" i="9"/>
  <c r="F83" i="9"/>
  <c r="E84" i="9"/>
  <c r="E86" i="9" s="1"/>
  <c r="E104" i="9" s="1"/>
  <c r="D105" i="9"/>
  <c r="D106" i="9" s="1"/>
  <c r="F75" i="9"/>
  <c r="I88" i="9" l="1"/>
  <c r="H103" i="9"/>
  <c r="G75" i="9"/>
  <c r="E105" i="9"/>
  <c r="E106" i="9" s="1"/>
  <c r="G83" i="9"/>
  <c r="F84" i="9"/>
  <c r="F86" i="9" s="1"/>
  <c r="F104" i="9" s="1"/>
  <c r="J88" i="9" l="1"/>
  <c r="I103" i="9"/>
  <c r="F105" i="9"/>
  <c r="F106" i="9" s="1"/>
  <c r="G84" i="9"/>
  <c r="G86" i="9" s="1"/>
  <c r="G104" i="9" s="1"/>
  <c r="H83" i="9"/>
  <c r="H75" i="9"/>
  <c r="K88" i="9" l="1"/>
  <c r="J103" i="9"/>
  <c r="I75" i="9"/>
  <c r="I83" i="9"/>
  <c r="H84" i="9"/>
  <c r="H86" i="9" s="1"/>
  <c r="H104" i="9" s="1"/>
  <c r="G105" i="9"/>
  <c r="G106" i="9" s="1"/>
  <c r="L88" i="9" l="1"/>
  <c r="L103" i="9" s="1"/>
  <c r="K103" i="9"/>
  <c r="H105" i="9"/>
  <c r="H106" i="9" s="1"/>
  <c r="J83" i="9"/>
  <c r="I84" i="9"/>
  <c r="I86" i="9" s="1"/>
  <c r="I104" i="9" s="1"/>
  <c r="J75" i="9"/>
  <c r="I105" i="9" l="1"/>
  <c r="I106" i="9" s="1"/>
  <c r="K83" i="9"/>
  <c r="J84" i="9"/>
  <c r="J86" i="9" s="1"/>
  <c r="J104" i="9" s="1"/>
  <c r="K75" i="9"/>
  <c r="K84" i="9" l="1"/>
  <c r="K86" i="9" s="1"/>
  <c r="K104" i="9" s="1"/>
  <c r="L83" i="9"/>
  <c r="L84" i="9" s="1"/>
  <c r="J105" i="9"/>
  <c r="J106" i="9" s="1"/>
  <c r="L75" i="9"/>
  <c r="L86" i="9" l="1"/>
  <c r="K105" i="9"/>
  <c r="K106" i="9" s="1"/>
  <c r="L105" i="9" l="1"/>
  <c r="L106" i="9" s="1"/>
  <c r="L104" i="9"/>
  <c r="D72" i="1"/>
  <c r="L10" i="17"/>
  <c r="H8" i="11"/>
  <c r="C45" i="15"/>
  <c r="F59" i="15" s="1"/>
  <c r="D71" i="1" l="1"/>
  <c r="B7" i="4" s="1"/>
  <c r="G129" i="15"/>
  <c r="G137" i="15"/>
  <c r="K137" i="15" s="1"/>
  <c r="G145" i="15"/>
  <c r="K145" i="15" s="1"/>
  <c r="G153" i="15"/>
  <c r="K153" i="15" s="1"/>
  <c r="G141" i="15"/>
  <c r="K141" i="15" s="1"/>
  <c r="G150" i="15"/>
  <c r="K150" i="15" s="1"/>
  <c r="G135" i="15"/>
  <c r="K135" i="15" s="1"/>
  <c r="G152" i="15"/>
  <c r="K152" i="15" s="1"/>
  <c r="G130" i="15"/>
  <c r="K130" i="15" s="1"/>
  <c r="G138" i="15"/>
  <c r="K138" i="15" s="1"/>
  <c r="G146" i="15"/>
  <c r="K146" i="15" s="1"/>
  <c r="G128" i="15"/>
  <c r="K128" i="15" s="1"/>
  <c r="G134" i="15"/>
  <c r="K134" i="15" s="1"/>
  <c r="G136" i="15"/>
  <c r="K136" i="15" s="1"/>
  <c r="G131" i="15"/>
  <c r="K131" i="15" s="1"/>
  <c r="G139" i="15"/>
  <c r="K139" i="15" s="1"/>
  <c r="G147" i="15"/>
  <c r="K147" i="15" s="1"/>
  <c r="G133" i="15"/>
  <c r="K133" i="15" s="1"/>
  <c r="G142" i="15"/>
  <c r="K142" i="15" s="1"/>
  <c r="G151" i="15"/>
  <c r="K151" i="15" s="1"/>
  <c r="G144" i="15"/>
  <c r="K144" i="15" s="1"/>
  <c r="G132" i="15"/>
  <c r="K132" i="15" s="1"/>
  <c r="G140" i="15"/>
  <c r="K140" i="15" s="1"/>
  <c r="G148" i="15"/>
  <c r="K148" i="15" s="1"/>
  <c r="G149" i="15"/>
  <c r="K149" i="15" s="1"/>
  <c r="G143" i="15"/>
  <c r="K143" i="15" s="1"/>
  <c r="C161" i="15" l="1"/>
  <c r="I161" i="15" s="1"/>
  <c r="K129" i="15"/>
  <c r="K154" i="15" s="1"/>
  <c r="K156" i="15" s="1"/>
  <c r="H169" i="15" s="1"/>
  <c r="C162" i="15"/>
  <c r="I162" i="15" s="1"/>
  <c r="B8" i="4"/>
  <c r="D94" i="1" s="1"/>
  <c r="K165" i="15" l="1"/>
  <c r="H170" i="15" s="1"/>
  <c r="K171"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Fink, Joseph K.</author>
  </authors>
  <commentList>
    <comment ref="A11" authorId="0" shapeId="0" xr:uid="{56ED6D89-2B8F-46CD-AE87-308AA878170E}">
      <text>
        <r>
          <rPr>
            <b/>
            <sz val="9"/>
            <color indexed="81"/>
            <rFont val="Tahoma"/>
            <family val="2"/>
          </rPr>
          <t>Multiple Building/Address Project</t>
        </r>
        <r>
          <rPr>
            <sz val="9"/>
            <color indexed="81"/>
            <rFont val="Tahoma"/>
            <family val="2"/>
          </rPr>
          <t xml:space="preserve">:
List a single building address here. Provide all additional building information in the </t>
        </r>
        <r>
          <rPr>
            <u/>
            <sz val="9"/>
            <color indexed="81"/>
            <rFont val="Tahoma"/>
            <family val="2"/>
          </rPr>
          <t>Buildings Summary</t>
        </r>
        <r>
          <rPr>
            <sz val="9"/>
            <color indexed="81"/>
            <rFont val="Tahoma"/>
            <family val="2"/>
          </rPr>
          <t xml:space="preserve"> tab.</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Fink, Joseph K.</author>
  </authors>
  <commentList>
    <comment ref="I2" authorId="0" shapeId="0" xr:uid="{0A75E0FF-1CCC-4486-8940-33DA4B503568}">
      <text>
        <r>
          <rPr>
            <sz val="9"/>
            <color indexed="81"/>
            <rFont val="Tahoma"/>
            <family val="2"/>
          </rPr>
          <t>Allocation Date shall be 12/31 of the year of the first credits allocated.</t>
        </r>
      </text>
    </comment>
    <comment ref="G6" authorId="0" shapeId="0" xr:uid="{EDA42C00-5CDB-4D7E-9A4B-E05372089C03}">
      <text>
        <r>
          <rPr>
            <sz val="9"/>
            <color indexed="81"/>
            <rFont val="Tahoma"/>
            <family val="2"/>
          </rPr>
          <t>12-months from Allocation Date</t>
        </r>
      </text>
    </comment>
    <comment ref="I6" authorId="0" shapeId="0" xr:uid="{A6C94711-5221-444E-A4E3-08E6D5DF53D9}">
      <text>
        <r>
          <rPr>
            <sz val="9"/>
            <color indexed="81"/>
            <rFont val="Tahoma"/>
            <family val="2"/>
          </rPr>
          <t>12/31 of the year the final BIN is PIS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Fink, Joseph K.</author>
  </authors>
  <commentList>
    <comment ref="C48" authorId="0" shapeId="0" xr:uid="{6AC67F28-A340-42FA-8194-94C43C2FDEEB}">
      <text>
        <r>
          <rPr>
            <b/>
            <sz val="9"/>
            <color indexed="81"/>
            <rFont val="Tahoma"/>
            <family val="2"/>
          </rPr>
          <t>Default</t>
        </r>
        <r>
          <rPr>
            <sz val="9"/>
            <color indexed="81"/>
            <rFont val="Tahoma"/>
            <family val="2"/>
          </rPr>
          <t>: Includes only NDHFA's HOME funds.
If project is proposing to use non-NDHFA Awarded HOME funds, the gross amount that award must be included here.</t>
        </r>
      </text>
    </comment>
    <comment ref="U48" authorId="0" shapeId="0" xr:uid="{32D23053-A5F6-4775-8D1D-465F18F5A82F}">
      <text>
        <r>
          <rPr>
            <b/>
            <sz val="9"/>
            <color indexed="81"/>
            <rFont val="Tahoma"/>
            <family val="2"/>
          </rPr>
          <t>Default</t>
        </r>
        <r>
          <rPr>
            <sz val="9"/>
            <color indexed="81"/>
            <rFont val="Tahoma"/>
            <family val="2"/>
          </rPr>
          <t>: Includes only NDHFA's HTF funds.
If project is proposing to use non-NDHFA Awarded HTF funds, the gross amount that award must be included here.</t>
        </r>
      </text>
    </comment>
    <comment ref="I53" authorId="0" shapeId="0" xr:uid="{FC459C29-8DFF-4884-9B7C-07FFBB86D263}">
      <text>
        <r>
          <rPr>
            <b/>
            <sz val="10"/>
            <color indexed="81"/>
            <rFont val="Tahoma"/>
            <family val="2"/>
          </rPr>
          <t xml:space="preserve">No:  </t>
        </r>
        <r>
          <rPr>
            <sz val="10"/>
            <color indexed="81"/>
            <rFont val="Tahoma"/>
            <family val="2"/>
          </rPr>
          <t>Relocation Costs are common costs of the Project</t>
        </r>
        <r>
          <rPr>
            <b/>
            <sz val="10"/>
            <color indexed="81"/>
            <rFont val="Tahoma"/>
            <family val="2"/>
          </rPr>
          <t xml:space="preserve">
Yes:</t>
        </r>
        <r>
          <rPr>
            <sz val="10"/>
            <color indexed="81"/>
            <rFont val="Tahoma"/>
            <family val="2"/>
          </rPr>
          <t xml:space="preserve">  Relocation Costs are exclusive to HOME-Assisted Units</t>
        </r>
      </text>
    </comment>
    <comment ref="H56" authorId="0" shapeId="0" xr:uid="{B10A423D-DF49-4F11-BB02-6FCF01FDCA5C}">
      <text>
        <r>
          <rPr>
            <sz val="9"/>
            <color indexed="81"/>
            <rFont val="Tahoma"/>
            <family val="2"/>
          </rPr>
          <t>If units are not comparable and some units have upgraded finishes or amenities (e.g. some units have fireplaces, upgraded appliance packages, premium fixtures, etc.), enter the cost of these upgrades on this line.</t>
        </r>
      </text>
    </comment>
    <comment ref="Z56" authorId="0" shapeId="0" xr:uid="{788DBACF-B995-42B4-8FFF-843F80267405}">
      <text>
        <r>
          <rPr>
            <sz val="9"/>
            <color indexed="81"/>
            <rFont val="Tahoma"/>
            <family val="2"/>
          </rPr>
          <t>If units are not comparable and some units have upgraded finishes or amenities (e.g. some units have fireplaces, upgraded appliance packages, premium fixtures, etc.), enter the cost of these upgrades on this line.</t>
        </r>
      </text>
    </comment>
    <comment ref="S57" authorId="0" shapeId="0" xr:uid="{931981C9-97DC-4104-845E-9E5B17093552}">
      <text>
        <r>
          <rPr>
            <sz val="9"/>
            <color indexed="81"/>
            <rFont val="Tahoma"/>
            <family val="2"/>
          </rPr>
          <t>Cost of Laundry/Community Space not in same Building as HTF-Assisted Units</t>
        </r>
      </text>
    </comment>
    <comment ref="A59" authorId="0" shapeId="0" xr:uid="{FA931E1E-3C6D-46E6-A1A3-1ACEAF135DF6}">
      <text>
        <r>
          <rPr>
            <sz val="9"/>
            <color indexed="81"/>
            <rFont val="Tahoma"/>
            <family val="2"/>
          </rPr>
          <t>Costs not Eligible Under 24 CFR 92.214
Link to eCFR provided</t>
        </r>
      </text>
    </comment>
    <comment ref="F59" authorId="0" shapeId="0" xr:uid="{FDC18453-71C0-4F29-9F3F-1D2E6FF05B41}">
      <text>
        <r>
          <rPr>
            <sz val="9"/>
            <color indexed="81"/>
            <rFont val="Tahoma"/>
            <family val="2"/>
          </rPr>
          <t>This is the Cost Allocation method which MUST be used.</t>
        </r>
      </text>
    </comment>
    <comment ref="S59" authorId="0" shapeId="0" xr:uid="{E9D5CF70-4B4F-4635-8C57-EC1D67313284}">
      <text>
        <r>
          <rPr>
            <sz val="9"/>
            <color indexed="81"/>
            <rFont val="Tahoma"/>
            <family val="2"/>
          </rPr>
          <t>Costs not Eligible Under 24 CFR 93.204
Link to eCFR provided</t>
        </r>
      </text>
    </comment>
    <comment ref="X59" authorId="0" shapeId="0" xr:uid="{93E23458-000E-49BB-835E-DCB2B0BB1BA9}">
      <text>
        <r>
          <rPr>
            <sz val="9"/>
            <color indexed="81"/>
            <rFont val="Tahoma"/>
            <family val="2"/>
          </rPr>
          <t>This displayed Cost Allocation MUST be used.
Do NOT complete more than one Method if more than one Method is displayed.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Fink, Joseph K.</author>
  </authors>
  <commentList>
    <comment ref="F4" authorId="0" shapeId="0" xr:uid="{89E19877-67D7-4446-955A-B8D263828C88}">
      <text>
        <r>
          <rPr>
            <sz val="9"/>
            <color indexed="81"/>
            <rFont val="Tahoma"/>
            <family val="2"/>
          </rPr>
          <t>BIN(s) issued by Agency
Contact Agency when needed</t>
        </r>
      </text>
    </comment>
    <comment ref="J4" authorId="0" shapeId="0" xr:uid="{08F1E5B2-8682-4742-A4F5-2349EA977797}">
      <text>
        <r>
          <rPr>
            <sz val="9"/>
            <color indexed="81"/>
            <rFont val="Tahoma"/>
            <family val="2"/>
          </rPr>
          <t>Use Anticipated Placed-In-Service Dates until Finalized</t>
        </r>
      </text>
    </comment>
    <comment ref="F11" authorId="0" shapeId="0" xr:uid="{53E1C766-2CB4-45BA-BFE6-095D61E0EAD2}">
      <text>
        <r>
          <rPr>
            <sz val="9"/>
            <color indexed="81"/>
            <rFont val="Tahoma"/>
            <family val="2"/>
          </rPr>
          <t>BIN(s) issued by Agency
Contact Agency when needed</t>
        </r>
      </text>
    </comment>
    <comment ref="F18" authorId="0" shapeId="0" xr:uid="{CB95275E-96CF-40FA-8EEA-196FA5FD0FA4}">
      <text>
        <r>
          <rPr>
            <sz val="9"/>
            <color indexed="81"/>
            <rFont val="Tahoma"/>
            <family val="2"/>
          </rPr>
          <t>BIN(s) issued by Agency
Contact Agency when needed</t>
        </r>
      </text>
    </comment>
    <comment ref="F25" authorId="0" shapeId="0" xr:uid="{FBB42BFA-F733-42B0-BE35-56507E932FD1}">
      <text>
        <r>
          <rPr>
            <sz val="9"/>
            <color indexed="81"/>
            <rFont val="Tahoma"/>
            <family val="2"/>
          </rPr>
          <t>BIN(s) issued by Agency
Contact Agency when needed</t>
        </r>
      </text>
    </comment>
    <comment ref="F32" authorId="0" shapeId="0" xr:uid="{8CF9A42B-B187-4470-B450-81CBF8083605}">
      <text>
        <r>
          <rPr>
            <sz val="9"/>
            <color indexed="81"/>
            <rFont val="Tahoma"/>
            <family val="2"/>
          </rPr>
          <t>BIN(s) issued by Agency
Contact Agency when needed</t>
        </r>
      </text>
    </comment>
    <comment ref="F39" authorId="0" shapeId="0" xr:uid="{7B8A538E-2BFC-4DD8-B492-282A39876A1A}">
      <text>
        <r>
          <rPr>
            <sz val="9"/>
            <color indexed="81"/>
            <rFont val="Tahoma"/>
            <family val="2"/>
          </rPr>
          <t>BIN(s) issued by Agency
Contact Agency when needed</t>
        </r>
      </text>
    </comment>
    <comment ref="F46" authorId="0" shapeId="0" xr:uid="{4EC48EEA-6823-4669-839E-62BD60904D88}">
      <text>
        <r>
          <rPr>
            <sz val="9"/>
            <color indexed="81"/>
            <rFont val="Tahoma"/>
            <family val="2"/>
          </rPr>
          <t>BIN(s) issued by Agency
Contact Agency when needed</t>
        </r>
      </text>
    </comment>
    <comment ref="F53" authorId="0" shapeId="0" xr:uid="{7E6BBAFA-D3D8-4E22-993D-03D08A252F65}">
      <text>
        <r>
          <rPr>
            <sz val="9"/>
            <color indexed="81"/>
            <rFont val="Tahoma"/>
            <family val="2"/>
          </rPr>
          <t>BIN(s) issued by Agency
Contact Agency when needed</t>
        </r>
      </text>
    </comment>
    <comment ref="F60" authorId="0" shapeId="0" xr:uid="{00CF52B4-5A83-4ECA-8A5D-E1C834B0539B}">
      <text>
        <r>
          <rPr>
            <sz val="9"/>
            <color indexed="81"/>
            <rFont val="Tahoma"/>
            <family val="2"/>
          </rPr>
          <t>BIN(s) issued by Agency
Contact Agency when needed</t>
        </r>
      </text>
    </comment>
    <comment ref="F67" authorId="0" shapeId="0" xr:uid="{22EE8896-E8A1-44B7-8286-FF990E29D29D}">
      <text>
        <r>
          <rPr>
            <sz val="9"/>
            <color indexed="81"/>
            <rFont val="Tahoma"/>
            <family val="2"/>
          </rPr>
          <t>BIN(s) issued by Agency
Contact Agency when needed</t>
        </r>
      </text>
    </comment>
    <comment ref="F74" authorId="0" shapeId="0" xr:uid="{DE0113ED-79B4-473D-A675-72D6B2283051}">
      <text>
        <r>
          <rPr>
            <sz val="9"/>
            <color indexed="81"/>
            <rFont val="Tahoma"/>
            <family val="2"/>
          </rPr>
          <t>BIN(s) issued by Agency
Contact Agency when needed</t>
        </r>
      </text>
    </comment>
    <comment ref="F81" authorId="0" shapeId="0" xr:uid="{A86D55A1-94EA-4A84-8987-98BC0462B6C6}">
      <text>
        <r>
          <rPr>
            <sz val="9"/>
            <color indexed="81"/>
            <rFont val="Tahoma"/>
            <family val="2"/>
          </rPr>
          <t>BIN(s) issued by Agency
Contact Agency when needed</t>
        </r>
      </text>
    </comment>
    <comment ref="F88" authorId="0" shapeId="0" xr:uid="{D58320A0-4F54-48B3-BAD5-CFCADBD44C40}">
      <text>
        <r>
          <rPr>
            <sz val="9"/>
            <color indexed="81"/>
            <rFont val="Tahoma"/>
            <family val="2"/>
          </rPr>
          <t>BIN(s) issued by Agency
Contact Agency when needed</t>
        </r>
      </text>
    </comment>
    <comment ref="F95" authorId="0" shapeId="0" xr:uid="{1A6637BB-617A-4BDE-A53B-8B2CBC7914C8}">
      <text>
        <r>
          <rPr>
            <sz val="9"/>
            <color indexed="81"/>
            <rFont val="Tahoma"/>
            <family val="2"/>
          </rPr>
          <t>BIN(s) issued by Agency
Contact Agency when needed</t>
        </r>
      </text>
    </comment>
    <comment ref="F102" authorId="0" shapeId="0" xr:uid="{2DDE1EEF-B85B-4B27-B04E-B9D66CB5EED3}">
      <text>
        <r>
          <rPr>
            <sz val="9"/>
            <color indexed="81"/>
            <rFont val="Tahoma"/>
            <family val="2"/>
          </rPr>
          <t>BIN(s) issued by Agency
Contact Agency when needed</t>
        </r>
      </text>
    </comment>
    <comment ref="F109" authorId="0" shapeId="0" xr:uid="{CBECA161-F1C9-436F-9905-F483C8922746}">
      <text>
        <r>
          <rPr>
            <sz val="9"/>
            <color indexed="81"/>
            <rFont val="Tahoma"/>
            <family val="2"/>
          </rPr>
          <t>BIN(s) issued by Agency
Contact Agency when needed</t>
        </r>
      </text>
    </comment>
    <comment ref="F116" authorId="0" shapeId="0" xr:uid="{0B2AEFBA-7AE6-43DB-9CBD-FC19633A3B30}">
      <text>
        <r>
          <rPr>
            <sz val="9"/>
            <color indexed="81"/>
            <rFont val="Tahoma"/>
            <family val="2"/>
          </rPr>
          <t>BIN(s) issued by Agency
Contact Agency when needed</t>
        </r>
      </text>
    </comment>
    <comment ref="F123" authorId="0" shapeId="0" xr:uid="{0C87F70D-827B-4007-9133-2660675D5611}">
      <text>
        <r>
          <rPr>
            <sz val="9"/>
            <color indexed="81"/>
            <rFont val="Tahoma"/>
            <family val="2"/>
          </rPr>
          <t>BIN(s) issued by Agency
Contact Agency when needed</t>
        </r>
      </text>
    </comment>
    <comment ref="F130" authorId="0" shapeId="0" xr:uid="{56E4E4F6-9899-4AD9-9D96-D0AC946ECF3B}">
      <text>
        <r>
          <rPr>
            <sz val="9"/>
            <color indexed="81"/>
            <rFont val="Tahoma"/>
            <family val="2"/>
          </rPr>
          <t>BIN(s) issued by Agency
Contact Agency when needed</t>
        </r>
      </text>
    </comment>
    <comment ref="F137" authorId="0" shapeId="0" xr:uid="{93F7A7F9-B2D9-4B27-AD63-EC864424FDA3}">
      <text>
        <r>
          <rPr>
            <sz val="9"/>
            <color indexed="81"/>
            <rFont val="Tahoma"/>
            <family val="2"/>
          </rPr>
          <t>BIN(s) issued by Agency
Contact Agency when needed</t>
        </r>
      </text>
    </comment>
    <comment ref="F144" authorId="0" shapeId="0" xr:uid="{C2A3CA49-E5E9-476B-B98F-7E69FF7201BA}">
      <text>
        <r>
          <rPr>
            <sz val="9"/>
            <color indexed="81"/>
            <rFont val="Tahoma"/>
            <family val="2"/>
          </rPr>
          <t>BIN(s) issued by Agency
Contact Agency when needed</t>
        </r>
      </text>
    </comment>
    <comment ref="F151" authorId="0" shapeId="0" xr:uid="{8A643BA4-B598-46FE-A236-F1907408F827}">
      <text>
        <r>
          <rPr>
            <sz val="9"/>
            <color indexed="81"/>
            <rFont val="Tahoma"/>
            <family val="2"/>
          </rPr>
          <t>BIN(s) issued by Agency
Contact Agency when needed</t>
        </r>
      </text>
    </comment>
    <comment ref="F158" authorId="0" shapeId="0" xr:uid="{FA2809A0-4557-49C5-85DE-D9CB31397E72}">
      <text>
        <r>
          <rPr>
            <sz val="9"/>
            <color indexed="81"/>
            <rFont val="Tahoma"/>
            <family val="2"/>
          </rPr>
          <t>BIN(s) issued by Agency
Contact Agency when needed</t>
        </r>
      </text>
    </comment>
    <comment ref="F165" authorId="0" shapeId="0" xr:uid="{66CC78B7-43AA-4690-8ECC-BA43580FC791}">
      <text>
        <r>
          <rPr>
            <sz val="9"/>
            <color indexed="81"/>
            <rFont val="Tahoma"/>
            <family val="2"/>
          </rPr>
          <t>BIN(s) issued by Agency
Contact Agency when needed</t>
        </r>
      </text>
    </comment>
    <comment ref="F172" authorId="0" shapeId="0" xr:uid="{E5092960-4602-419D-92E4-8CE89DE47000}">
      <text>
        <r>
          <rPr>
            <sz val="9"/>
            <color indexed="81"/>
            <rFont val="Tahoma"/>
            <family val="2"/>
          </rPr>
          <t>BIN(s) issued by Agency
Contact Agency when needed</t>
        </r>
      </text>
    </comment>
    <comment ref="F179" authorId="0" shapeId="0" xr:uid="{306D830F-C95F-4312-AA48-32998B10BAFE}">
      <text>
        <r>
          <rPr>
            <sz val="9"/>
            <color indexed="81"/>
            <rFont val="Tahoma"/>
            <family val="2"/>
          </rPr>
          <t>BIN(s) issued by Agency
Contact Agency when needed</t>
        </r>
      </text>
    </comment>
    <comment ref="F186" authorId="0" shapeId="0" xr:uid="{B4A238C2-A0EC-43F0-9CF0-666802763E9A}">
      <text>
        <r>
          <rPr>
            <sz val="9"/>
            <color indexed="81"/>
            <rFont val="Tahoma"/>
            <family val="2"/>
          </rPr>
          <t>BIN(s) issued by Agency
Contact Agency when needed</t>
        </r>
      </text>
    </comment>
    <comment ref="F193" authorId="0" shapeId="0" xr:uid="{0D4625CB-89E7-4136-8DB0-898D39A7B70B}">
      <text>
        <r>
          <rPr>
            <sz val="9"/>
            <color indexed="81"/>
            <rFont val="Tahoma"/>
            <family val="2"/>
          </rPr>
          <t>BIN(s) issued by Agency
Contact Agency when needed</t>
        </r>
      </text>
    </comment>
    <comment ref="F200" authorId="0" shapeId="0" xr:uid="{210B1F29-8AA9-4EEE-9245-FC617B880119}">
      <text>
        <r>
          <rPr>
            <sz val="9"/>
            <color indexed="81"/>
            <rFont val="Tahoma"/>
            <family val="2"/>
          </rPr>
          <t>BIN(s) issued by Agency
Contact Agency when needed</t>
        </r>
      </text>
    </comment>
    <comment ref="F207" authorId="0" shapeId="0" xr:uid="{5D9C2648-6A56-4270-92A4-BAA3785DE67A}">
      <text>
        <r>
          <rPr>
            <sz val="9"/>
            <color indexed="81"/>
            <rFont val="Tahoma"/>
            <family val="2"/>
          </rPr>
          <t>BIN(s) issued by Agency
Contact Agency when needed</t>
        </r>
      </text>
    </comment>
    <comment ref="F214" authorId="0" shapeId="0" xr:uid="{0180C827-808B-47C1-84C8-1824151CB8C4}">
      <text>
        <r>
          <rPr>
            <sz val="9"/>
            <color indexed="81"/>
            <rFont val="Tahoma"/>
            <family val="2"/>
          </rPr>
          <t>BIN(s) issued by Agency
Contact Agency when needed</t>
        </r>
      </text>
    </comment>
    <comment ref="F221" authorId="0" shapeId="0" xr:uid="{D3BAB996-84F5-482E-A1B1-ADF08C7830ED}">
      <text>
        <r>
          <rPr>
            <sz val="9"/>
            <color indexed="81"/>
            <rFont val="Tahoma"/>
            <family val="2"/>
          </rPr>
          <t>BIN(s) issued by Agency
Contact Agency when needed</t>
        </r>
      </text>
    </comment>
    <comment ref="F228" authorId="0" shapeId="0" xr:uid="{F3151D7E-1862-4F6C-A9D6-6BB6B20A6F6B}">
      <text>
        <r>
          <rPr>
            <sz val="9"/>
            <color indexed="81"/>
            <rFont val="Tahoma"/>
            <family val="2"/>
          </rPr>
          <t>BIN(s) issued by Agency
Contact Agency when needed</t>
        </r>
      </text>
    </comment>
    <comment ref="F235" authorId="0" shapeId="0" xr:uid="{47912FC7-EC82-492F-8C46-3F516F3FEBF1}">
      <text>
        <r>
          <rPr>
            <sz val="9"/>
            <color indexed="81"/>
            <rFont val="Tahoma"/>
            <family val="2"/>
          </rPr>
          <t>BIN(s) issued by Agency
Contact Agency when needed</t>
        </r>
      </text>
    </comment>
    <comment ref="F242" authorId="0" shapeId="0" xr:uid="{5DBBFC1F-7652-4044-A1B5-0068183F47E9}">
      <text>
        <r>
          <rPr>
            <sz val="9"/>
            <color indexed="81"/>
            <rFont val="Tahoma"/>
            <family val="2"/>
          </rPr>
          <t>BIN(s) issued by Agency
Contact Agency when needed</t>
        </r>
      </text>
    </comment>
    <comment ref="F249" authorId="0" shapeId="0" xr:uid="{2349BA96-E16D-4A8A-BF7D-E30A63064C8F}">
      <text>
        <r>
          <rPr>
            <sz val="9"/>
            <color indexed="81"/>
            <rFont val="Tahoma"/>
            <family val="2"/>
          </rPr>
          <t>BIN(s) issued by Agency
Contact Agency when needed</t>
        </r>
      </text>
    </comment>
    <comment ref="F256" authorId="0" shapeId="0" xr:uid="{977C553A-811F-47AD-B800-1C08FF956825}">
      <text>
        <r>
          <rPr>
            <sz val="9"/>
            <color indexed="81"/>
            <rFont val="Tahoma"/>
            <family val="2"/>
          </rPr>
          <t>BIN(s) issued by Agency
Contact Agency when needed</t>
        </r>
      </text>
    </comment>
    <comment ref="F263" authorId="0" shapeId="0" xr:uid="{A4E78F72-6ECC-4DD3-8579-7EC543996F5B}">
      <text>
        <r>
          <rPr>
            <sz val="9"/>
            <color indexed="81"/>
            <rFont val="Tahoma"/>
            <family val="2"/>
          </rPr>
          <t>BIN(s) issued by Agency
Contact Agency when needed</t>
        </r>
      </text>
    </comment>
    <comment ref="F270" authorId="0" shapeId="0" xr:uid="{F421D104-919C-4D88-942C-BD13B6F79586}">
      <text>
        <r>
          <rPr>
            <sz val="9"/>
            <color indexed="81"/>
            <rFont val="Tahoma"/>
            <family val="2"/>
          </rPr>
          <t>BIN(s) issued by Agency
Contact Agency when needed</t>
        </r>
      </text>
    </comment>
    <comment ref="F277" authorId="0" shapeId="0" xr:uid="{89EFEA67-550A-4418-B820-8D4C783D134D}">
      <text>
        <r>
          <rPr>
            <sz val="9"/>
            <color indexed="81"/>
            <rFont val="Tahoma"/>
            <family val="2"/>
          </rPr>
          <t>BIN(s) issued by Agency
Contact Agency when needed</t>
        </r>
      </text>
    </comment>
    <comment ref="F284" authorId="0" shapeId="0" xr:uid="{5E6ACED0-2E47-486B-B481-067F2800F43C}">
      <text>
        <r>
          <rPr>
            <sz val="9"/>
            <color indexed="81"/>
            <rFont val="Tahoma"/>
            <family val="2"/>
          </rPr>
          <t>BIN(s) issued by Agency
Contact Agency when needed</t>
        </r>
      </text>
    </comment>
    <comment ref="F291" authorId="0" shapeId="0" xr:uid="{5044E7DE-B005-432C-9C11-572600ADDF33}">
      <text>
        <r>
          <rPr>
            <sz val="9"/>
            <color indexed="81"/>
            <rFont val="Tahoma"/>
            <family val="2"/>
          </rPr>
          <t>BIN(s) issued by Agency
Contact Agency when needed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Fink, Joseph K.</author>
  </authors>
  <commentList>
    <comment ref="A32" authorId="0" shapeId="0" xr:uid="{A2A2AC08-CB61-4446-8A77-D16FFF3F500F}">
      <text>
        <r>
          <rPr>
            <sz val="9"/>
            <color indexed="81"/>
            <rFont val="Tahoma"/>
            <family val="2"/>
          </rPr>
          <t>* may be less due to limits imposed by the LIHTC QAP.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Fink, Joseph K.</author>
    <author>tc={7E20ABE0-D0AF-4620-ABBF-347BCAF13816}</author>
    <author>tc={78213CC1-A659-47C5-9A65-4E88AFDEE2D2}</author>
    <author>tc={91BD8529-5DBE-49DC-A25B-E78D268859AC}</author>
    <author>tc={E12C1BA3-8927-4048-8B0A-DF1441A0CAD1}</author>
    <author>tc={D0926A54-E43B-423A-9526-D6251EEE6D14}</author>
    <author>tc={0EA97C4C-9409-4219-A5E4-AED58E5BF18C}</author>
  </authors>
  <commentList>
    <comment ref="B4" authorId="0" shapeId="0" xr:uid="{BE582B6B-04B7-4F10-9272-E604314FE3EE}">
      <text>
        <r>
          <rPr>
            <b/>
            <sz val="9"/>
            <color indexed="81"/>
            <rFont val="Tahoma"/>
            <family val="2"/>
          </rPr>
          <t>Includes:</t>
        </r>
        <r>
          <rPr>
            <sz val="9"/>
            <color indexed="81"/>
            <rFont val="Tahoma"/>
            <family val="2"/>
          </rPr>
          <t xml:space="preserve"> Staff Units, Communal Hallways, Entryways, Laundry Room(s), Stairwells &amp; any other Interior Common areas included in the project.
</t>
        </r>
        <r>
          <rPr>
            <b/>
            <sz val="9"/>
            <color indexed="81"/>
            <rFont val="Tahoma"/>
            <family val="2"/>
          </rPr>
          <t>Excludes:</t>
        </r>
        <r>
          <rPr>
            <sz val="9"/>
            <color indexed="81"/>
            <rFont val="Tahoma"/>
            <family val="2"/>
          </rPr>
          <t xml:space="preserve"> Parking Structures, Parking Lots, &amp; any Exterior Commons areas included in the project</t>
        </r>
      </text>
    </comment>
    <comment ref="C4" authorId="0" shapeId="0" xr:uid="{806BABBF-284E-46B5-B4DB-146EE22C0244}">
      <text>
        <r>
          <rPr>
            <b/>
            <sz val="9"/>
            <color indexed="81"/>
            <rFont val="Tahoma"/>
            <family val="2"/>
          </rPr>
          <t>Includes:</t>
        </r>
        <r>
          <rPr>
            <sz val="9"/>
            <color indexed="81"/>
            <rFont val="Tahoma"/>
            <family val="2"/>
          </rPr>
          <t xml:space="preserve"> All commecial Square Footage included in the building.
</t>
        </r>
      </text>
    </comment>
    <comment ref="E4" authorId="0" shapeId="0" xr:uid="{39DD640C-E8B1-4297-9002-2DEB589ED0FE}">
      <text>
        <r>
          <rPr>
            <sz val="9"/>
            <color indexed="81"/>
            <rFont val="Tahoma"/>
            <family val="2"/>
          </rPr>
          <t xml:space="preserve">Enter </t>
        </r>
        <r>
          <rPr>
            <b/>
            <sz val="9"/>
            <color indexed="81"/>
            <rFont val="Tahoma"/>
            <family val="2"/>
          </rPr>
          <t>Building #</t>
        </r>
        <r>
          <rPr>
            <sz val="9"/>
            <color indexed="81"/>
            <rFont val="Tahoma"/>
            <family val="2"/>
          </rPr>
          <t xml:space="preserve"> to which the Parking Structure is associated</t>
        </r>
      </text>
    </comment>
    <comment ref="F4" authorId="0" shapeId="0" xr:uid="{F1C1603A-9B9E-49EA-9ABB-BF737ACFD9BB}">
      <text>
        <r>
          <rPr>
            <b/>
            <sz val="9"/>
            <color indexed="81"/>
            <rFont val="Tahoma"/>
            <family val="2"/>
          </rPr>
          <t xml:space="preserve">Includes: </t>
        </r>
        <r>
          <rPr>
            <sz val="9"/>
            <color indexed="81"/>
            <rFont val="Tahoma"/>
            <family val="2"/>
          </rPr>
          <t xml:space="preserve">All Parking Garages or Parking Ramps included in the project.
</t>
        </r>
        <r>
          <rPr>
            <b/>
            <sz val="9"/>
            <color indexed="81"/>
            <rFont val="Tahoma"/>
            <family val="2"/>
          </rPr>
          <t>Excludes:</t>
        </r>
        <r>
          <rPr>
            <sz val="9"/>
            <color indexed="81"/>
            <rFont val="Tahoma"/>
            <family val="2"/>
          </rPr>
          <t xml:space="preserve"> Non-Structural parking included in the project. i.e. Parking Lot(s) or Parking Spaces</t>
        </r>
      </text>
    </comment>
    <comment ref="J4" authorId="0" shapeId="0" xr:uid="{735690E0-5A28-460A-A0F8-6DD77780EB32}">
      <text>
        <r>
          <rPr>
            <sz val="9"/>
            <color indexed="81"/>
            <rFont val="Tahoma"/>
            <family val="2"/>
          </rPr>
          <t xml:space="preserve">Enter </t>
        </r>
        <r>
          <rPr>
            <b/>
            <sz val="9"/>
            <color indexed="81"/>
            <rFont val="Tahoma"/>
            <family val="2"/>
          </rPr>
          <t>Building #</t>
        </r>
        <r>
          <rPr>
            <sz val="9"/>
            <color indexed="81"/>
            <rFont val="Tahoma"/>
            <family val="2"/>
          </rPr>
          <t xml:space="preserve"> to which the Storage Structure is associated</t>
        </r>
      </text>
    </comment>
    <comment ref="N4" authorId="0" shapeId="0" xr:uid="{FFDF9E32-F3C0-4787-A429-FE75C4F16B59}">
      <text>
        <r>
          <rPr>
            <sz val="9"/>
            <color indexed="81"/>
            <rFont val="Tahoma"/>
            <family val="2"/>
          </rPr>
          <t xml:space="preserve">Enter </t>
        </r>
        <r>
          <rPr>
            <b/>
            <sz val="9"/>
            <color indexed="81"/>
            <rFont val="Tahoma"/>
            <family val="2"/>
          </rPr>
          <t>Building #</t>
        </r>
        <r>
          <rPr>
            <sz val="9"/>
            <color indexed="81"/>
            <rFont val="Tahoma"/>
            <family val="2"/>
          </rPr>
          <t xml:space="preserve"> to which the Other Structure is associated</t>
        </r>
      </text>
    </comment>
    <comment ref="O4" authorId="0" shapeId="0" xr:uid="{93DDA755-6DD6-4D5A-BFC5-740E9FAE57E0}">
      <text>
        <r>
          <rPr>
            <b/>
            <sz val="9"/>
            <color indexed="81"/>
            <rFont val="Tahoma"/>
            <family val="2"/>
          </rPr>
          <t>Includes:</t>
        </r>
        <r>
          <rPr>
            <sz val="9"/>
            <color indexed="81"/>
            <rFont val="Tahoma"/>
            <family val="2"/>
          </rPr>
          <t xml:space="preserve"> All Communal Hallways, Entryways, Laundry Room(s), Stairwells &amp; any other Interior Common areas included in the project.
</t>
        </r>
        <r>
          <rPr>
            <b/>
            <sz val="9"/>
            <color indexed="81"/>
            <rFont val="Tahoma"/>
            <family val="2"/>
          </rPr>
          <t>Excludes:</t>
        </r>
        <r>
          <rPr>
            <sz val="9"/>
            <color indexed="81"/>
            <rFont val="Tahoma"/>
            <family val="2"/>
          </rPr>
          <t xml:space="preserve"> Parking Structures, Parking Lots, &amp; any Exterior Commons areas included in the project</t>
        </r>
      </text>
    </comment>
    <comment ref="A17" authorId="0" shapeId="0" xr:uid="{618AF860-266C-4171-8F4F-8340256D588F}">
      <text>
        <r>
          <rPr>
            <b/>
            <sz val="9"/>
            <color indexed="81"/>
            <rFont val="Tahoma"/>
            <family val="2"/>
          </rPr>
          <t xml:space="preserve">Use template format provided.
</t>
        </r>
        <r>
          <rPr>
            <sz val="9"/>
            <color indexed="81"/>
            <rFont val="Tahoma"/>
            <family val="2"/>
          </rPr>
          <t>Adjust placement of subsequent "Building #'s" and adjust Unit composition per project specs</t>
        </r>
      </text>
    </comment>
    <comment ref="C17" authorId="0" shapeId="0" xr:uid="{F74DFE5A-9FD0-4F05-A9A1-E2E0633FC833}">
      <text>
        <r>
          <rPr>
            <sz val="9"/>
            <color indexed="81"/>
            <rFont val="Tahoma"/>
            <family val="2"/>
          </rPr>
          <t xml:space="preserve">Unit's true Livable Square Footage. </t>
        </r>
        <r>
          <rPr>
            <b/>
            <u/>
            <sz val="9"/>
            <color indexed="81"/>
            <rFont val="Tahoma"/>
            <family val="2"/>
          </rPr>
          <t>DO NOT</t>
        </r>
        <r>
          <rPr>
            <sz val="9"/>
            <color indexed="81"/>
            <rFont val="Tahoma"/>
            <family val="2"/>
          </rPr>
          <t xml:space="preserve"> Round</t>
        </r>
      </text>
    </comment>
    <comment ref="F17" authorId="0" shapeId="0" xr:uid="{409CFC25-DD42-4BBD-B852-859A5279EDB0}">
      <text>
        <r>
          <rPr>
            <sz val="9"/>
            <color indexed="81"/>
            <rFont val="Tahoma"/>
            <family val="2"/>
          </rPr>
          <t xml:space="preserve">Unit Designation includes </t>
        </r>
        <r>
          <rPr>
            <b/>
            <sz val="9"/>
            <color indexed="81"/>
            <rFont val="Tahoma"/>
            <family val="2"/>
          </rPr>
          <t>BOTH</t>
        </r>
        <r>
          <rPr>
            <sz val="9"/>
            <color indexed="81"/>
            <rFont val="Tahoma"/>
            <family val="2"/>
          </rPr>
          <t xml:space="preserve"> Income and Rent restrictions and are listed as:
"</t>
        </r>
        <r>
          <rPr>
            <b/>
            <sz val="9"/>
            <color indexed="81"/>
            <rFont val="Tahoma"/>
            <family val="2"/>
          </rPr>
          <t>Income Restriction / Rent Restriction</t>
        </r>
        <r>
          <rPr>
            <sz val="9"/>
            <color indexed="81"/>
            <rFont val="Tahoma"/>
            <family val="2"/>
          </rPr>
          <t>"</t>
        </r>
      </text>
    </comment>
    <comment ref="H17" authorId="0" shapeId="0" xr:uid="{CBB0F060-D2B5-4D0C-972F-A3615BAC9397}">
      <text>
        <r>
          <rPr>
            <b/>
            <sz val="9"/>
            <color indexed="81"/>
            <rFont val="Tahoma"/>
            <family val="2"/>
          </rPr>
          <t xml:space="preserve">Use template format provided.
</t>
        </r>
        <r>
          <rPr>
            <sz val="9"/>
            <color indexed="81"/>
            <rFont val="Tahoma"/>
            <family val="2"/>
          </rPr>
          <t>Adjust placement of subsequent "Building #'s" and adjust Unit composition per project specs</t>
        </r>
      </text>
    </comment>
    <comment ref="K17" authorId="0" shapeId="0" xr:uid="{22F4F68E-0A57-4419-AFDC-063E061F6933}">
      <text>
        <r>
          <rPr>
            <sz val="9"/>
            <color indexed="81"/>
            <rFont val="Tahoma"/>
            <family val="2"/>
          </rPr>
          <t xml:space="preserve">Unit's true Livable Square Footage. </t>
        </r>
        <r>
          <rPr>
            <b/>
            <u/>
            <sz val="9"/>
            <color indexed="81"/>
            <rFont val="Tahoma"/>
            <family val="2"/>
          </rPr>
          <t>DO NOT</t>
        </r>
        <r>
          <rPr>
            <sz val="9"/>
            <color indexed="81"/>
            <rFont val="Tahoma"/>
            <family val="2"/>
          </rPr>
          <t xml:space="preserve"> Round</t>
        </r>
      </text>
    </comment>
    <comment ref="M17" authorId="0" shapeId="0" xr:uid="{A646F1EA-B088-4E8F-8050-8C03D9627E0D}">
      <text>
        <r>
          <rPr>
            <sz val="9"/>
            <color indexed="81"/>
            <rFont val="Tahoma"/>
            <family val="2"/>
          </rPr>
          <t xml:space="preserve">Unit Designation includes </t>
        </r>
        <r>
          <rPr>
            <b/>
            <sz val="9"/>
            <color indexed="81"/>
            <rFont val="Tahoma"/>
            <family val="2"/>
          </rPr>
          <t>BOTH</t>
        </r>
        <r>
          <rPr>
            <sz val="9"/>
            <color indexed="81"/>
            <rFont val="Tahoma"/>
            <family val="2"/>
          </rPr>
          <t xml:space="preserve"> Income and Rent restrictions and are listed as:
"</t>
        </r>
        <r>
          <rPr>
            <b/>
            <sz val="9"/>
            <color indexed="81"/>
            <rFont val="Tahoma"/>
            <family val="2"/>
          </rPr>
          <t>Income Restriction / Rent Restriction</t>
        </r>
        <r>
          <rPr>
            <sz val="9"/>
            <color indexed="81"/>
            <rFont val="Tahoma"/>
            <family val="2"/>
          </rPr>
          <t>"</t>
        </r>
      </text>
    </comment>
    <comment ref="P17" authorId="0" shapeId="0" xr:uid="{647D37B4-49F8-4C7D-9976-17183CF6B0FD}">
      <text>
        <r>
          <rPr>
            <b/>
            <sz val="9"/>
            <color indexed="81"/>
            <rFont val="Tahoma"/>
            <family val="2"/>
          </rPr>
          <t xml:space="preserve">Use template format provided.
</t>
        </r>
        <r>
          <rPr>
            <sz val="9"/>
            <color indexed="81"/>
            <rFont val="Tahoma"/>
            <family val="2"/>
          </rPr>
          <t>Adjust placement of subsequent "Building #'s" and adjust Unit composition per project specs</t>
        </r>
      </text>
    </comment>
    <comment ref="R17" authorId="0" shapeId="0" xr:uid="{30C1ACB9-2C9F-4F71-ADAD-20F7D41BA5DD}">
      <text>
        <r>
          <rPr>
            <sz val="9"/>
            <color indexed="81"/>
            <rFont val="Tahoma"/>
            <family val="2"/>
          </rPr>
          <t xml:space="preserve">Unit's true Livable Square Footage. </t>
        </r>
        <r>
          <rPr>
            <b/>
            <u/>
            <sz val="9"/>
            <color indexed="81"/>
            <rFont val="Tahoma"/>
            <family val="2"/>
          </rPr>
          <t>DO NOT</t>
        </r>
        <r>
          <rPr>
            <sz val="9"/>
            <color indexed="81"/>
            <rFont val="Tahoma"/>
            <family val="2"/>
          </rPr>
          <t xml:space="preserve"> Round</t>
        </r>
      </text>
    </comment>
    <comment ref="U17" authorId="0" shapeId="0" xr:uid="{BB043BA9-5FBA-4773-865B-735C93FED59E}">
      <text>
        <r>
          <rPr>
            <sz val="9"/>
            <color indexed="81"/>
            <rFont val="Tahoma"/>
            <family val="2"/>
          </rPr>
          <t xml:space="preserve">Unit Designation includes </t>
        </r>
        <r>
          <rPr>
            <b/>
            <sz val="9"/>
            <color indexed="81"/>
            <rFont val="Tahoma"/>
            <family val="2"/>
          </rPr>
          <t>BOTH</t>
        </r>
        <r>
          <rPr>
            <sz val="9"/>
            <color indexed="81"/>
            <rFont val="Tahoma"/>
            <family val="2"/>
          </rPr>
          <t xml:space="preserve"> Income and Rent restrictions and are listed as:
"</t>
        </r>
        <r>
          <rPr>
            <b/>
            <sz val="9"/>
            <color indexed="81"/>
            <rFont val="Tahoma"/>
            <family val="2"/>
          </rPr>
          <t>Income Restriction / Rent Restriction</t>
        </r>
        <r>
          <rPr>
            <sz val="9"/>
            <color indexed="81"/>
            <rFont val="Tahoma"/>
            <family val="2"/>
          </rPr>
          <t>"</t>
        </r>
      </text>
    </comment>
    <comment ref="W37" authorId="0" shapeId="0" xr:uid="{88E7B8CD-DEED-411E-B699-50DD4FE42D9C}">
      <text>
        <r>
          <rPr>
            <sz val="9"/>
            <color indexed="81"/>
            <rFont val="Tahoma"/>
            <family val="2"/>
          </rPr>
          <t>"Staff", "Unrestricted", or "Other Restricted" Unit Designations should NOT be listed as a UD Unit below.</t>
        </r>
      </text>
    </comment>
    <comment ref="F88" authorId="1" shapeId="0" xr:uid="{7E20ABE0-D0AF-4620-ABBF-347BCAF13816}">
      <text>
        <t>[Threaded comment]
Your version of Excel allows you to read this threaded comment; however, any edits to it will get removed if the file is opened in a newer version of Excel. Learn more: https://go.microsoft.com/fwlink/?linkid=870924
Comment:
    Excludes Staff Units</t>
      </text>
    </comment>
    <comment ref="M88" authorId="2" shapeId="0" xr:uid="{78213CC1-A659-47C5-9A65-4E88AFDEE2D2}">
      <text>
        <t>[Threaded comment]
Your version of Excel allows you to read this threaded comment; however, any edits to it will get removed if the file is opened in a newer version of Excel. Learn more: https://go.microsoft.com/fwlink/?linkid=870924
Comment:
    Excludes Staff Units</t>
      </text>
    </comment>
    <comment ref="U88" authorId="3" shapeId="0" xr:uid="{91BD8529-5DBE-49DC-A25B-E78D268859AC}">
      <text>
        <t>[Threaded comment]
Your version of Excel allows you to read this threaded comment; however, any edits to it will get removed if the file is opened in a newer version of Excel. Learn more: https://go.microsoft.com/fwlink/?linkid=870924
Comment:
    Excludes Staff Units</t>
      </text>
    </comment>
    <comment ref="A90" authorId="0" shapeId="0" xr:uid="{723D763E-4060-433D-A5BE-57E320512ED9}">
      <text>
        <r>
          <rPr>
            <b/>
            <sz val="9"/>
            <color indexed="81"/>
            <rFont val="Tahoma"/>
            <family val="2"/>
          </rPr>
          <t xml:space="preserve">Use template format provided.
</t>
        </r>
        <r>
          <rPr>
            <sz val="9"/>
            <color indexed="81"/>
            <rFont val="Tahoma"/>
            <family val="2"/>
          </rPr>
          <t>Adjust placement of subsequent "Building #'s" and adjust Unit composition per project specs</t>
        </r>
      </text>
    </comment>
    <comment ref="C90" authorId="0" shapeId="0" xr:uid="{833971FC-6310-4A82-87E4-48BBEC24746F}">
      <text>
        <r>
          <rPr>
            <sz val="9"/>
            <color indexed="81"/>
            <rFont val="Tahoma"/>
            <family val="2"/>
          </rPr>
          <t xml:space="preserve">Unit's true Livable Square Footage. </t>
        </r>
        <r>
          <rPr>
            <b/>
            <u/>
            <sz val="9"/>
            <color indexed="81"/>
            <rFont val="Tahoma"/>
            <family val="2"/>
          </rPr>
          <t>DO NOT</t>
        </r>
        <r>
          <rPr>
            <sz val="9"/>
            <color indexed="81"/>
            <rFont val="Tahoma"/>
            <family val="2"/>
          </rPr>
          <t xml:space="preserve"> Round</t>
        </r>
      </text>
    </comment>
    <comment ref="F90" authorId="0" shapeId="0" xr:uid="{B0360597-BFE1-4057-BB5C-7FF04B7CAC74}">
      <text>
        <r>
          <rPr>
            <sz val="9"/>
            <color indexed="81"/>
            <rFont val="Tahoma"/>
            <family val="2"/>
          </rPr>
          <t xml:space="preserve">Unit Designation includes </t>
        </r>
        <r>
          <rPr>
            <b/>
            <sz val="9"/>
            <color indexed="81"/>
            <rFont val="Tahoma"/>
            <family val="2"/>
          </rPr>
          <t>BOTH</t>
        </r>
        <r>
          <rPr>
            <sz val="9"/>
            <color indexed="81"/>
            <rFont val="Tahoma"/>
            <family val="2"/>
          </rPr>
          <t xml:space="preserve"> Income and Rent restrictions and are listed as:
"</t>
        </r>
        <r>
          <rPr>
            <b/>
            <sz val="9"/>
            <color indexed="81"/>
            <rFont val="Tahoma"/>
            <family val="2"/>
          </rPr>
          <t>Income Restriction / Rent Restriction</t>
        </r>
        <r>
          <rPr>
            <sz val="9"/>
            <color indexed="81"/>
            <rFont val="Tahoma"/>
            <family val="2"/>
          </rPr>
          <t>"</t>
        </r>
      </text>
    </comment>
    <comment ref="H90" authorId="0" shapeId="0" xr:uid="{E7318AF8-771A-4E4D-AAA1-5F0B1A922B5E}">
      <text>
        <r>
          <rPr>
            <b/>
            <sz val="9"/>
            <color indexed="81"/>
            <rFont val="Tahoma"/>
            <family val="2"/>
          </rPr>
          <t xml:space="preserve">Use template format provided.
</t>
        </r>
        <r>
          <rPr>
            <sz val="9"/>
            <color indexed="81"/>
            <rFont val="Tahoma"/>
            <family val="2"/>
          </rPr>
          <t>Adjust placement of subsequent "Building #'s" and adjust Unit composition per project specs</t>
        </r>
      </text>
    </comment>
    <comment ref="K90" authorId="0" shapeId="0" xr:uid="{9E33CE2C-7F98-49AB-92A2-A4EA9657894D}">
      <text>
        <r>
          <rPr>
            <sz val="9"/>
            <color indexed="81"/>
            <rFont val="Tahoma"/>
            <family val="2"/>
          </rPr>
          <t xml:space="preserve">Unit's true Livable Square Footage. </t>
        </r>
        <r>
          <rPr>
            <b/>
            <u/>
            <sz val="9"/>
            <color indexed="81"/>
            <rFont val="Tahoma"/>
            <family val="2"/>
          </rPr>
          <t>DO NOT</t>
        </r>
        <r>
          <rPr>
            <sz val="9"/>
            <color indexed="81"/>
            <rFont val="Tahoma"/>
            <family val="2"/>
          </rPr>
          <t xml:space="preserve"> Round</t>
        </r>
      </text>
    </comment>
    <comment ref="M90" authorId="0" shapeId="0" xr:uid="{CD16C32B-8DCA-4A2F-A4EB-BAA0AC855BF6}">
      <text>
        <r>
          <rPr>
            <sz val="9"/>
            <color indexed="81"/>
            <rFont val="Tahoma"/>
            <family val="2"/>
          </rPr>
          <t xml:space="preserve">Unit Designation includes </t>
        </r>
        <r>
          <rPr>
            <b/>
            <sz val="9"/>
            <color indexed="81"/>
            <rFont val="Tahoma"/>
            <family val="2"/>
          </rPr>
          <t>BOTH</t>
        </r>
        <r>
          <rPr>
            <sz val="9"/>
            <color indexed="81"/>
            <rFont val="Tahoma"/>
            <family val="2"/>
          </rPr>
          <t xml:space="preserve"> Income and Rent restrictions and are listed as:
"</t>
        </r>
        <r>
          <rPr>
            <b/>
            <sz val="9"/>
            <color indexed="81"/>
            <rFont val="Tahoma"/>
            <family val="2"/>
          </rPr>
          <t>Income Restriction / Rent Restriction</t>
        </r>
        <r>
          <rPr>
            <sz val="9"/>
            <color indexed="81"/>
            <rFont val="Tahoma"/>
            <family val="2"/>
          </rPr>
          <t>"</t>
        </r>
      </text>
    </comment>
    <comment ref="P90" authorId="0" shapeId="0" xr:uid="{35F24577-A244-4F6A-A603-523D7C7043B5}">
      <text>
        <r>
          <rPr>
            <b/>
            <sz val="9"/>
            <color indexed="81"/>
            <rFont val="Tahoma"/>
            <family val="2"/>
          </rPr>
          <t xml:space="preserve">Use template format provided.
</t>
        </r>
        <r>
          <rPr>
            <sz val="9"/>
            <color indexed="81"/>
            <rFont val="Tahoma"/>
            <family val="2"/>
          </rPr>
          <t>Adjust placement of subsequent "Building #'s" and adjust Unit composition per project specs</t>
        </r>
      </text>
    </comment>
    <comment ref="R90" authorId="0" shapeId="0" xr:uid="{5F9DD2AF-40CF-4A96-B02E-9E97A7611764}">
      <text>
        <r>
          <rPr>
            <sz val="9"/>
            <color indexed="81"/>
            <rFont val="Tahoma"/>
            <family val="2"/>
          </rPr>
          <t xml:space="preserve">Unit's true Livable Square Footage. </t>
        </r>
        <r>
          <rPr>
            <b/>
            <u/>
            <sz val="9"/>
            <color indexed="81"/>
            <rFont val="Tahoma"/>
            <family val="2"/>
          </rPr>
          <t>DO NOT</t>
        </r>
        <r>
          <rPr>
            <sz val="9"/>
            <color indexed="81"/>
            <rFont val="Tahoma"/>
            <family val="2"/>
          </rPr>
          <t xml:space="preserve"> Round</t>
        </r>
      </text>
    </comment>
    <comment ref="U90" authorId="0" shapeId="0" xr:uid="{C58554DF-6EEA-41AA-8B50-394106184903}">
      <text>
        <r>
          <rPr>
            <sz val="9"/>
            <color indexed="81"/>
            <rFont val="Tahoma"/>
            <family val="2"/>
          </rPr>
          <t xml:space="preserve">Unit Designation includes </t>
        </r>
        <r>
          <rPr>
            <b/>
            <sz val="9"/>
            <color indexed="81"/>
            <rFont val="Tahoma"/>
            <family val="2"/>
          </rPr>
          <t>BOTH</t>
        </r>
        <r>
          <rPr>
            <sz val="9"/>
            <color indexed="81"/>
            <rFont val="Tahoma"/>
            <family val="2"/>
          </rPr>
          <t xml:space="preserve"> Income and Rent restrictions and are listed as:
"</t>
        </r>
        <r>
          <rPr>
            <b/>
            <sz val="9"/>
            <color indexed="81"/>
            <rFont val="Tahoma"/>
            <family val="2"/>
          </rPr>
          <t>Income Restriction / Rent Restriction</t>
        </r>
        <r>
          <rPr>
            <sz val="9"/>
            <color indexed="81"/>
            <rFont val="Tahoma"/>
            <family val="2"/>
          </rPr>
          <t>"</t>
        </r>
      </text>
    </comment>
    <comment ref="F161" authorId="4" shapeId="0" xr:uid="{E12C1BA3-8927-4048-8B0A-DF1441A0CAD1}">
      <text>
        <t>[Threaded comment]
Your version of Excel allows you to read this threaded comment; however, any edits to it will get removed if the file is opened in a newer version of Excel. Learn more: https://go.microsoft.com/fwlink/?linkid=870924
Comment:
    Excludes Staff Units</t>
      </text>
    </comment>
    <comment ref="M161" authorId="5" shapeId="0" xr:uid="{D0926A54-E43B-423A-9526-D6251EEE6D14}">
      <text>
        <t>[Threaded comment]
Your version of Excel allows you to read this threaded comment; however, any edits to it will get removed if the file is opened in a newer version of Excel. Learn more: https://go.microsoft.com/fwlink/?linkid=870924
Comment:
    Excludes Staff Units</t>
      </text>
    </comment>
    <comment ref="U161" authorId="6" shapeId="0" xr:uid="{0EA97C4C-9409-4219-A5E4-AED58E5BF18C}">
      <text>
        <t>[Threaded comment]
Your version of Excel allows you to read this threaded comment; however, any edits to it will get removed if the file is opened in a newer version of Excel. Learn more: https://go.microsoft.com/fwlink/?linkid=870924
Comment:
    Excludes Staff Units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Fink, Joseph K.</author>
  </authors>
  <commentList>
    <comment ref="E6" authorId="0" shapeId="0" xr:uid="{EB08BCCA-AAA8-40BC-BFAB-10556C65C8C1}">
      <text>
        <r>
          <rPr>
            <sz val="9"/>
            <color indexed="81"/>
            <rFont val="Tahoma"/>
            <family val="2"/>
          </rPr>
          <t>To ensure Program Compliance, DO NOT group expenses any more than necessary.  Incorrectly associating costs could result in a severely decreased or cancelled award.</t>
        </r>
      </text>
    </comment>
    <comment ref="J6" authorId="0" shapeId="0" xr:uid="{B2725F74-351F-4953-957F-C3603EEF650A}">
      <text>
        <r>
          <rPr>
            <sz val="9"/>
            <color indexed="81"/>
            <rFont val="Tahoma"/>
            <family val="2"/>
          </rPr>
          <t>To ensure Program Compliance, DO NOT group expenses any more than necessary.  Incorrectly associating costs could result in a severely decreased or cancelled award.</t>
        </r>
      </text>
    </comment>
    <comment ref="E112" authorId="0" shapeId="0" xr:uid="{DBEDCBAA-E3F6-49D1-A223-2212AD291030}">
      <text>
        <r>
          <rPr>
            <sz val="9"/>
            <color indexed="81"/>
            <rFont val="Tahoma"/>
            <family val="2"/>
          </rPr>
          <t>Developer Fees as a Percentage of Total Residential Costs</t>
        </r>
      </text>
    </comment>
    <comment ref="H112" authorId="0" shapeId="0" xr:uid="{81434F29-088F-413F-8B66-8745E1FDEB48}">
      <text>
        <r>
          <rPr>
            <sz val="9"/>
            <color indexed="81"/>
            <rFont val="Tahoma"/>
            <family val="2"/>
          </rPr>
          <t>Developer Fees as a percentage of Total Basis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Fink, Joseph K.</author>
  </authors>
  <commentList>
    <comment ref="A5" authorId="0" shapeId="0" xr:uid="{213B41FF-F9A5-4B92-976D-27071522C822}">
      <text>
        <r>
          <rPr>
            <sz val="9"/>
            <color indexed="81"/>
            <rFont val="Tahoma"/>
            <family val="2"/>
          </rPr>
          <t xml:space="preserve">Enter UA's applicable to Restricted Units.  Enter the currenly applicable UA's. </t>
        </r>
        <r>
          <rPr>
            <b/>
            <sz val="9"/>
            <color indexed="81"/>
            <rFont val="Tahoma"/>
            <family val="2"/>
          </rPr>
          <t>MUST</t>
        </r>
        <r>
          <rPr>
            <sz val="9"/>
            <color indexed="81"/>
            <rFont val="Tahoma"/>
            <family val="2"/>
          </rPr>
          <t xml:space="preserve"> indicate "Paid By" for </t>
        </r>
        <r>
          <rPr>
            <b/>
            <sz val="9"/>
            <color indexed="81"/>
            <rFont val="Tahoma"/>
            <family val="2"/>
          </rPr>
          <t>EACH</t>
        </r>
        <r>
          <rPr>
            <sz val="9"/>
            <color indexed="81"/>
            <rFont val="Tahoma"/>
            <family val="2"/>
          </rPr>
          <t xml:space="preserve"> allowance type.
</t>
        </r>
      </text>
    </comment>
    <comment ref="A19" authorId="0" shapeId="0" xr:uid="{CDC577D9-52B6-493A-9EEE-40CB741670EA}">
      <text>
        <r>
          <rPr>
            <sz val="9"/>
            <color indexed="81"/>
            <rFont val="Tahoma"/>
            <family val="2"/>
          </rPr>
          <t>If the Project will contain ANY PBV's enter the current monthly Payment Standard (Monthly Maximum Gross Collectable Rent) for each unit type.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Fink, Joseph K.</author>
    <author>Hourigan, William J.</author>
  </authors>
  <commentList>
    <comment ref="K6" authorId="0" shapeId="0" xr:uid="{7C4B2310-739B-4FCE-BC26-EAF1633366CC}">
      <text>
        <r>
          <rPr>
            <b/>
            <sz val="9"/>
            <color indexed="81"/>
            <rFont val="Tahoma"/>
            <family val="2"/>
          </rPr>
          <t xml:space="preserve">Maximum Gross Rents in Multiple-Program Project: </t>
        </r>
        <r>
          <rPr>
            <sz val="9"/>
            <color indexed="81"/>
            <rFont val="Tahoma"/>
            <family val="2"/>
          </rPr>
          <t>The Program with the most restrictive Gross Rents for the Unit Designation selected is applicable to the entire Project across all Programs.</t>
        </r>
      </text>
    </comment>
    <comment ref="K54" authorId="0" shapeId="0" xr:uid="{6E7FB45A-DD39-42E6-AF1A-FA538E170B51}">
      <text>
        <r>
          <rPr>
            <b/>
            <sz val="9"/>
            <color indexed="81"/>
            <rFont val="Tahoma"/>
            <family val="2"/>
          </rPr>
          <t>HIF:</t>
        </r>
        <r>
          <rPr>
            <sz val="9"/>
            <color indexed="81"/>
            <rFont val="Tahoma"/>
            <family val="2"/>
          </rPr>
          <t xml:space="preserve"> Tenant-paid rent </t>
        </r>
        <r>
          <rPr>
            <b/>
            <sz val="9"/>
            <color indexed="81"/>
            <rFont val="Tahoma"/>
            <family val="2"/>
          </rPr>
          <t>PLUS</t>
        </r>
        <r>
          <rPr>
            <sz val="9"/>
            <color indexed="81"/>
            <rFont val="Tahoma"/>
            <family val="2"/>
          </rPr>
          <t xml:space="preserve"> </t>
        </r>
        <r>
          <rPr>
            <sz val="9"/>
            <color indexed="81"/>
            <rFont val="Tahoma"/>
            <family val="2"/>
          </rPr>
          <t xml:space="preserve">the utility allowance(s) for any tenant-paid utilities </t>
        </r>
        <r>
          <rPr>
            <b/>
            <sz val="9"/>
            <color indexed="81"/>
            <rFont val="Tahoma"/>
            <family val="2"/>
          </rPr>
          <t>MUST NOT</t>
        </r>
        <r>
          <rPr>
            <sz val="9"/>
            <color indexed="81"/>
            <rFont val="Tahoma"/>
            <family val="2"/>
          </rPr>
          <t xml:space="preserve"> exceed NDHFA's published corresponding </t>
        </r>
        <r>
          <rPr>
            <u/>
            <sz val="9"/>
            <color indexed="81"/>
            <rFont val="Tahoma"/>
            <family val="2"/>
          </rPr>
          <t>Gross Rent Limit</t>
        </r>
        <r>
          <rPr>
            <sz val="9"/>
            <color indexed="81"/>
            <rFont val="Tahoma"/>
            <family val="2"/>
          </rPr>
          <t>.</t>
        </r>
      </text>
    </comment>
    <comment ref="G56" authorId="0" shapeId="0" xr:uid="{BFBCE163-D7E4-499A-99F0-FD9E903759D5}">
      <text>
        <r>
          <rPr>
            <b/>
            <sz val="9"/>
            <color indexed="81"/>
            <rFont val="Tahoma"/>
            <family val="2"/>
          </rPr>
          <t>Default Formula:</t>
        </r>
        <r>
          <rPr>
            <sz val="9"/>
            <color indexed="81"/>
            <rFont val="Tahoma"/>
            <family val="2"/>
          </rPr>
          <t xml:space="preserve">
=IFERROR(MAX(7%,1/$E$48),7%)</t>
        </r>
      </text>
    </comment>
    <comment ref="H61" authorId="1" shapeId="0" xr:uid="{4076EB42-4796-4939-A224-3A6B9D0B6580}">
      <text>
        <r>
          <rPr>
            <sz val="9"/>
            <color indexed="81"/>
            <rFont val="Tahoma"/>
            <family val="2"/>
          </rPr>
          <t xml:space="preserve">Enter annual operating expenses as of the first </t>
        </r>
        <r>
          <rPr>
            <b/>
            <u/>
            <sz val="9"/>
            <color indexed="81"/>
            <rFont val="Tahoma"/>
            <family val="2"/>
          </rPr>
          <t>FULL Year</t>
        </r>
        <r>
          <rPr>
            <sz val="9"/>
            <color indexed="81"/>
            <rFont val="Tahoma"/>
            <family val="2"/>
          </rPr>
          <t xml:space="preserve"> of operation.  
All expenses </t>
        </r>
        <r>
          <rPr>
            <b/>
            <u/>
            <sz val="9"/>
            <color indexed="81"/>
            <rFont val="Tahoma"/>
            <family val="2"/>
          </rPr>
          <t>MUST</t>
        </r>
        <r>
          <rPr>
            <sz val="9"/>
            <color indexed="81"/>
            <rFont val="Tahoma"/>
            <family val="2"/>
          </rPr>
          <t xml:space="preserve"> be broken out.
</t>
        </r>
        <r>
          <rPr>
            <b/>
            <u/>
            <sz val="9"/>
            <color indexed="81"/>
            <rFont val="Tahoma"/>
            <family val="2"/>
          </rPr>
          <t>ANY</t>
        </r>
        <r>
          <rPr>
            <sz val="9"/>
            <color indexed="81"/>
            <rFont val="Tahoma"/>
            <family val="2"/>
          </rPr>
          <t xml:space="preserve"> 'Other' expenses </t>
        </r>
        <r>
          <rPr>
            <b/>
            <u/>
            <sz val="9"/>
            <color indexed="81"/>
            <rFont val="Tahoma"/>
            <family val="2"/>
          </rPr>
          <t>MUST</t>
        </r>
        <r>
          <rPr>
            <sz val="9"/>
            <color indexed="81"/>
            <rFont val="Tahoma"/>
            <family val="2"/>
          </rPr>
          <t xml:space="preserve"> be described in the space provided</t>
        </r>
      </text>
    </comment>
    <comment ref="H96" authorId="0" shapeId="0" xr:uid="{5C641218-3947-4B9D-9F3B-9010C9916CC0}">
      <text>
        <r>
          <rPr>
            <sz val="9"/>
            <color indexed="81"/>
            <rFont val="Tahoma"/>
            <family val="2"/>
          </rPr>
          <t xml:space="preserve">Enter the </t>
        </r>
        <r>
          <rPr>
            <b/>
            <u/>
            <sz val="9"/>
            <color indexed="81"/>
            <rFont val="Tahoma"/>
            <family val="2"/>
          </rPr>
          <t>FULL Year 1</t>
        </r>
        <r>
          <rPr>
            <sz val="9"/>
            <color indexed="81"/>
            <rFont val="Tahoma"/>
            <family val="2"/>
          </rPr>
          <t xml:space="preserve"> Real Estate Tax estimate.  If the project has a Temporary Tax Abatement (Not for the life of the project) enter the abatement appropriately in the Cash Flow tab.</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Fink, Joseph K.</author>
    <author>Hourigan, William J.</author>
  </authors>
  <commentList>
    <comment ref="A12" authorId="0" shapeId="0" xr:uid="{0C1FABC2-CDBF-4063-9C25-47424084CEC4}">
      <text>
        <r>
          <rPr>
            <sz val="9"/>
            <color indexed="81"/>
            <rFont val="Tahoma"/>
            <family val="2"/>
          </rPr>
          <t xml:space="preserve">Property Tax Abatements </t>
        </r>
        <r>
          <rPr>
            <b/>
            <u/>
            <sz val="9"/>
            <color indexed="81"/>
            <rFont val="Tahoma"/>
            <family val="2"/>
          </rPr>
          <t>MUST</t>
        </r>
        <r>
          <rPr>
            <sz val="9"/>
            <color indexed="81"/>
            <rFont val="Tahoma"/>
            <family val="2"/>
          </rPr>
          <t xml:space="preserve"> be entered as a </t>
        </r>
        <r>
          <rPr>
            <b/>
            <u/>
            <sz val="9"/>
            <color indexed="81"/>
            <rFont val="Tahoma"/>
            <family val="2"/>
          </rPr>
          <t>Negative</t>
        </r>
        <r>
          <rPr>
            <sz val="9"/>
            <color indexed="81"/>
            <rFont val="Tahoma"/>
            <family val="2"/>
          </rPr>
          <t>.  Enter the Abatement as per the documented agreement with the Municipality having jurisdiction.</t>
        </r>
      </text>
    </comment>
    <comment ref="A32" authorId="1" shapeId="0" xr:uid="{2E90C7AC-9766-4C11-AF71-DB6810B75358}">
      <text>
        <r>
          <rPr>
            <sz val="9"/>
            <color indexed="81"/>
            <rFont val="Tahoma"/>
            <family val="2"/>
          </rPr>
          <t xml:space="preserve">Enter as a </t>
        </r>
        <r>
          <rPr>
            <b/>
            <sz val="9"/>
            <color indexed="81"/>
            <rFont val="Tahoma"/>
            <family val="2"/>
          </rPr>
          <t>negative</t>
        </r>
        <r>
          <rPr>
            <sz val="9"/>
            <color indexed="81"/>
            <rFont val="Tahoma"/>
            <family val="2"/>
          </rPr>
          <t>.</t>
        </r>
      </text>
    </comment>
    <comment ref="A47" authorId="0" shapeId="0" xr:uid="{5E3B4E5B-AE80-488B-B85D-89344861B57F}">
      <text>
        <r>
          <rPr>
            <sz val="9"/>
            <color indexed="81"/>
            <rFont val="Tahoma"/>
            <family val="2"/>
          </rPr>
          <t xml:space="preserve">Property Tax Abatements </t>
        </r>
        <r>
          <rPr>
            <b/>
            <u/>
            <sz val="9"/>
            <color indexed="81"/>
            <rFont val="Tahoma"/>
            <family val="2"/>
          </rPr>
          <t>MUST</t>
        </r>
        <r>
          <rPr>
            <sz val="9"/>
            <color indexed="81"/>
            <rFont val="Tahoma"/>
            <family val="2"/>
          </rPr>
          <t xml:space="preserve"> be entered as a </t>
        </r>
        <r>
          <rPr>
            <b/>
            <u/>
            <sz val="9"/>
            <color indexed="81"/>
            <rFont val="Tahoma"/>
            <family val="2"/>
          </rPr>
          <t>Negative</t>
        </r>
        <r>
          <rPr>
            <sz val="9"/>
            <color indexed="81"/>
            <rFont val="Tahoma"/>
            <family val="2"/>
          </rPr>
          <t>.  Enter the Abatement as per the documented agreement with the Municipality having jurisdiction.</t>
        </r>
      </text>
    </comment>
    <comment ref="A67" authorId="1" shapeId="0" xr:uid="{F37FBC62-B1B7-4F1D-8F3C-5072FA677137}">
      <text>
        <r>
          <rPr>
            <sz val="9"/>
            <color indexed="81"/>
            <rFont val="Tahoma"/>
            <family val="2"/>
          </rPr>
          <t xml:space="preserve">Enter as a </t>
        </r>
        <r>
          <rPr>
            <b/>
            <sz val="9"/>
            <color indexed="81"/>
            <rFont val="Tahoma"/>
            <family val="2"/>
          </rPr>
          <t>negative</t>
        </r>
        <r>
          <rPr>
            <sz val="9"/>
            <color indexed="81"/>
            <rFont val="Tahoma"/>
            <family val="2"/>
          </rPr>
          <t>.</t>
        </r>
      </text>
    </comment>
    <comment ref="A82" authorId="0" shapeId="0" xr:uid="{E392889E-F3CB-4E6C-9359-1D52DB74CC78}">
      <text>
        <r>
          <rPr>
            <sz val="9"/>
            <color indexed="81"/>
            <rFont val="Tahoma"/>
            <family val="2"/>
          </rPr>
          <t xml:space="preserve">Property Tax Abatements </t>
        </r>
        <r>
          <rPr>
            <b/>
            <u/>
            <sz val="9"/>
            <color indexed="81"/>
            <rFont val="Tahoma"/>
            <family val="2"/>
          </rPr>
          <t>MUST</t>
        </r>
        <r>
          <rPr>
            <sz val="9"/>
            <color indexed="81"/>
            <rFont val="Tahoma"/>
            <family val="2"/>
          </rPr>
          <t xml:space="preserve"> be entered as a </t>
        </r>
        <r>
          <rPr>
            <b/>
            <u/>
            <sz val="9"/>
            <color indexed="81"/>
            <rFont val="Tahoma"/>
            <family val="2"/>
          </rPr>
          <t>Negative</t>
        </r>
        <r>
          <rPr>
            <sz val="9"/>
            <color indexed="81"/>
            <rFont val="Tahoma"/>
            <family val="2"/>
          </rPr>
          <t>.  Enter the Abatement as per the documented agreement with the Municipality having jurisdiction.</t>
        </r>
      </text>
    </comment>
    <comment ref="A102" authorId="1" shapeId="0" xr:uid="{767DAE51-F30F-4FC2-B60A-4910E8BC21D5}">
      <text>
        <r>
          <rPr>
            <sz val="9"/>
            <color indexed="81"/>
            <rFont val="Tahoma"/>
            <family val="2"/>
          </rPr>
          <t xml:space="preserve">Enter as a </t>
        </r>
        <r>
          <rPr>
            <b/>
            <sz val="9"/>
            <color indexed="81"/>
            <rFont val="Tahoma"/>
            <family val="2"/>
          </rPr>
          <t>negative</t>
        </r>
        <r>
          <rPr>
            <sz val="9"/>
            <color indexed="81"/>
            <rFont val="Tahoma"/>
            <family val="2"/>
          </rPr>
          <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Fink, Joseph K.</author>
  </authors>
  <commentList>
    <comment ref="L3" authorId="0" shapeId="0" xr:uid="{B46E6218-A227-4497-B2E3-E074D4D0F586}">
      <text>
        <r>
          <rPr>
            <sz val="9"/>
            <color indexed="81"/>
            <rFont val="Tahoma"/>
            <family val="2"/>
          </rPr>
          <t>Any Loan, Grant, Guarantee, Insurance, Payment, Rebate, Subsidy, Credit, Tax Benefit, or any other form of direct or indirect assistance from the Fedreal Government (other than the one listed in Part I), a State, or unit of general local government, or an agency or instrumentality thereof, that is, or is expected to be made available with respect to the project or activities for which the assistance is sought.</t>
        </r>
      </text>
    </comment>
    <comment ref="K4" authorId="0" shapeId="0" xr:uid="{7A6DF737-9B52-4666-BA2D-ED771FE13AA0}">
      <text>
        <r>
          <rPr>
            <sz val="9"/>
            <color indexed="81"/>
            <rFont val="Tahoma"/>
            <family val="2"/>
          </rPr>
          <t>Name, Address, City, State &amp; Zip</t>
        </r>
      </text>
    </comment>
    <comment ref="Q4" authorId="0" shapeId="0" xr:uid="{DECB9E6C-50D9-4589-83DC-4037355109E7}">
      <text>
        <r>
          <rPr>
            <sz val="9"/>
            <color indexed="81"/>
            <rFont val="Tahoma"/>
            <family val="2"/>
          </rPr>
          <t>i.e. Loan, Grant, Loan Insurance</t>
        </r>
      </text>
    </comment>
    <comment ref="S4" authorId="0" shapeId="0" xr:uid="{C4F11723-313A-4D7B-89E0-799E26E4BE67}">
      <text>
        <r>
          <rPr>
            <sz val="9"/>
            <color indexed="81"/>
            <rFont val="Tahoma"/>
            <family val="2"/>
          </rPr>
          <t>$ of Government Assistance that is, or is expected to be, provided</t>
        </r>
      </text>
    </comment>
    <comment ref="U4" authorId="0" shapeId="0" xr:uid="{489C5A41-E687-4005-9E96-6E669F9FC5DA}">
      <text>
        <r>
          <rPr>
            <sz val="9"/>
            <color indexed="81"/>
            <rFont val="Tahoma"/>
            <family val="2"/>
          </rPr>
          <t>Reasonable aggregations may be used, such as "Total Structure" to include a number of structural costs, such as Roof, Elevators, Exterior Masonry, etc...</t>
        </r>
      </text>
    </comment>
    <comment ref="L20" authorId="0" shapeId="0" xr:uid="{5659E58F-81B4-4EDB-B564-70483326E68A}">
      <text>
        <r>
          <rPr>
            <sz val="9"/>
            <color indexed="81"/>
            <rFont val="Tahoma"/>
            <family val="2"/>
          </rPr>
          <t>1. All developers, contractors, or consultants involved in the application for the assistance or in the planning, development, or implementation of the project or activity and
2. any other person who has a financial interest in the project or activity for which the assistance is sought that exceeds $50,000 or 10 percent of the assistance (whichever is lower).</t>
        </r>
      </text>
    </comment>
    <comment ref="K21" authorId="0" shapeId="0" xr:uid="{A295A913-1FE1-4D2A-8362-A1769C3D4E5B}">
      <text>
        <r>
          <rPr>
            <sz val="9"/>
            <color indexed="81"/>
            <rFont val="Tahoma"/>
            <family val="2"/>
          </rPr>
          <t>Full Names &amp; Address, City, State, Zip
Entity: Also list the CEO (controlling individual)</t>
        </r>
      </text>
    </comment>
    <comment ref="S21" authorId="0" shapeId="0" xr:uid="{46DFD6A7-B553-4BF8-98F4-DF66549E8826}">
      <text>
        <r>
          <rPr>
            <sz val="9"/>
            <color indexed="81"/>
            <rFont val="Tahoma"/>
            <family val="2"/>
          </rPr>
          <t>i.e. Contractor, Consultant, Planner, Investor, etc...</t>
        </r>
      </text>
    </comment>
    <comment ref="U21" authorId="0" shapeId="0" xr:uid="{4BEB8FF9-A82B-4A2E-B070-AAEABF6AED37}">
      <text>
        <r>
          <rPr>
            <sz val="9"/>
            <color indexed="81"/>
            <rFont val="Tahoma"/>
            <family val="2"/>
          </rPr>
          <t>Must be expressed both as a dollar amount and percentage of the total amount of HUD assistance involved.</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<sst xmlns="http://schemas.openxmlformats.org/spreadsheetml/2006/main" count="3504" uniqueCount="1125">
  <si>
    <t>Equal Housing</t>
  </si>
  <si>
    <t>Opportunity</t>
  </si>
  <si>
    <t>Application - Exhibit A</t>
  </si>
  <si>
    <t>Low Income Housing Tax Credit</t>
  </si>
  <si>
    <t>National Housing Trust Fund</t>
  </si>
  <si>
    <t xml:space="preserve"> Housing Incentive Fund</t>
  </si>
  <si>
    <t>to accompany all Applications for the following Programs:</t>
  </si>
  <si>
    <t>Use of this Workbook is solely to facilitate NDHFA's analysis of the proposed Project. The information contained herein is not a represention of the Project's feasibility, viability, or investment quality.</t>
  </si>
  <si>
    <t>The Applicant is responsible for all all calculations, figures, and requirements relating to the eligible basis for the project and any other requirements of the Internal Revenue Code, Section 42 (Code) and all calculations, figures, and requirements relating to the HTF program under Code of Federal Regulations 24 CFR Part 93.</t>
  </si>
  <si>
    <t>NDHFA does not warrant to any users of this workbook as to Internal Revenue Service interpretation of the Code.  Users should consult their own legal and tax professionals.</t>
  </si>
  <si>
    <t>Project Summary</t>
  </si>
  <si>
    <t>As of Date:</t>
  </si>
  <si>
    <t>Applicant:</t>
  </si>
  <si>
    <t>Project Name:</t>
  </si>
  <si>
    <t>Physical Address:</t>
  </si>
  <si>
    <t>ND</t>
  </si>
  <si>
    <t>HUD Census Tract:</t>
  </si>
  <si>
    <t>Legislative District</t>
  </si>
  <si>
    <t>Yes</t>
  </si>
  <si>
    <t>No</t>
  </si>
  <si>
    <t>LIHTC Project Type</t>
  </si>
  <si>
    <t>New Construction</t>
  </si>
  <si>
    <t>Acquisition &amp; Rehabilitation</t>
  </si>
  <si>
    <t>LIHTC Project:</t>
  </si>
  <si>
    <t>Tax Exempt Bond?</t>
  </si>
  <si>
    <t>Project Type:</t>
  </si>
  <si>
    <t>LP Ownership %:</t>
  </si>
  <si>
    <t>Administrative GP %:</t>
  </si>
  <si>
    <t>ENTER DATA INTO GREEN-SHADED CELLS ONLY</t>
  </si>
  <si>
    <t>HTF Project:</t>
  </si>
  <si>
    <t>HIF Project:</t>
  </si>
  <si>
    <t>Rehabilitation</t>
  </si>
  <si>
    <t>Acquisition, Rehabilitation and/or Preservation</t>
  </si>
  <si>
    <t>Acquisition, Rehabilitation and/or Preservation with PBVs</t>
  </si>
  <si>
    <t>Adaptive Reuse of non-Residential</t>
  </si>
  <si>
    <t>Retirement of Debt</t>
  </si>
  <si>
    <t>Purchase Existing Public Housing</t>
  </si>
  <si>
    <t>If Yes, Scattered Site?</t>
  </si>
  <si>
    <t>Bldg #</t>
  </si>
  <si>
    <t>Unit #</t>
  </si>
  <si>
    <t># of BRs</t>
  </si>
  <si>
    <t>Unit SqFt</t>
  </si>
  <si>
    <t>Commecial SqFt</t>
  </si>
  <si>
    <t>Totals</t>
  </si>
  <si>
    <t>Total</t>
  </si>
  <si>
    <t>Commercial SqFt:</t>
  </si>
  <si>
    <t>Parking SqFt:</t>
  </si>
  <si>
    <t>Storage SqFt:</t>
  </si>
  <si>
    <t>Residential SqFt:</t>
  </si>
  <si>
    <t>Commons SqFt:</t>
  </si>
  <si>
    <t>Total Structural SqFt:</t>
  </si>
  <si>
    <t>Structure SqFt</t>
  </si>
  <si>
    <t>Description</t>
  </si>
  <si>
    <t>Other Structure SqFt:</t>
  </si>
  <si>
    <t>Utility Allowances (UA's)</t>
  </si>
  <si>
    <t>Fuel Type</t>
  </si>
  <si>
    <t>Paid By</t>
  </si>
  <si>
    <t>Efficiency</t>
  </si>
  <si>
    <t>1 BR</t>
  </si>
  <si>
    <t>2 BR</t>
  </si>
  <si>
    <t>3 BR</t>
  </si>
  <si>
    <t>4 BR</t>
  </si>
  <si>
    <t>Heating</t>
  </si>
  <si>
    <t>Cooking</t>
  </si>
  <si>
    <t>Hot Water</t>
  </si>
  <si>
    <t>Lighting</t>
  </si>
  <si>
    <t>Air Conditioning</t>
  </si>
  <si>
    <t>Water / Sewer</t>
  </si>
  <si>
    <t>Trash</t>
  </si>
  <si>
    <t>Other</t>
  </si>
  <si>
    <t>Tenant UA</t>
  </si>
  <si>
    <t>Electric</t>
  </si>
  <si>
    <t>Nat'l Gas</t>
  </si>
  <si>
    <t>LP</t>
  </si>
  <si>
    <t>Owner</t>
  </si>
  <si>
    <t>Tenant</t>
  </si>
  <si>
    <t>Source:</t>
  </si>
  <si>
    <t>Effective Date:</t>
  </si>
  <si>
    <t>County:</t>
  </si>
  <si>
    <t>County</t>
  </si>
  <si>
    <t>Region</t>
  </si>
  <si>
    <t>Adams</t>
  </si>
  <si>
    <t>Barnes</t>
  </si>
  <si>
    <t>Benson</t>
  </si>
  <si>
    <t>Billings</t>
  </si>
  <si>
    <t>Bottineau</t>
  </si>
  <si>
    <t>Bowman</t>
  </si>
  <si>
    <t>Burke</t>
  </si>
  <si>
    <t>Burleigh</t>
  </si>
  <si>
    <t>Cass</t>
  </si>
  <si>
    <t>Cavalier</t>
  </si>
  <si>
    <t>Dickey</t>
  </si>
  <si>
    <t>Divide</t>
  </si>
  <si>
    <t>Dunn</t>
  </si>
  <si>
    <t>Eddy</t>
  </si>
  <si>
    <t>Emmons</t>
  </si>
  <si>
    <t>Foster</t>
  </si>
  <si>
    <t>Golden Valley</t>
  </si>
  <si>
    <t>Grand Forks</t>
  </si>
  <si>
    <t>Grant</t>
  </si>
  <si>
    <t>Griggs</t>
  </si>
  <si>
    <t>Hettinger</t>
  </si>
  <si>
    <t>Kidder</t>
  </si>
  <si>
    <t>LaMoure</t>
  </si>
  <si>
    <t>Logan</t>
  </si>
  <si>
    <t>McHenry</t>
  </si>
  <si>
    <t>McIntosh</t>
  </si>
  <si>
    <t>McKenzie</t>
  </si>
  <si>
    <t>McLean</t>
  </si>
  <si>
    <t>Mercer</t>
  </si>
  <si>
    <t>Morton</t>
  </si>
  <si>
    <t>Mountrail</t>
  </si>
  <si>
    <t>Nelson</t>
  </si>
  <si>
    <t>Oliver</t>
  </si>
  <si>
    <t>Pembina</t>
  </si>
  <si>
    <t>Pierce</t>
  </si>
  <si>
    <t>Ramsey</t>
  </si>
  <si>
    <t>Ransom</t>
  </si>
  <si>
    <t>Renville</t>
  </si>
  <si>
    <t>Richland</t>
  </si>
  <si>
    <t>Rolette</t>
  </si>
  <si>
    <t>Sargent</t>
  </si>
  <si>
    <t>Sheridan</t>
  </si>
  <si>
    <t>Sioux</t>
  </si>
  <si>
    <t>Slope</t>
  </si>
  <si>
    <t>Stark</t>
  </si>
  <si>
    <t>Steele</t>
  </si>
  <si>
    <t>Stutsman</t>
  </si>
  <si>
    <t>Towner</t>
  </si>
  <si>
    <t>Traill</t>
  </si>
  <si>
    <t>Walsh</t>
  </si>
  <si>
    <t>Ward</t>
  </si>
  <si>
    <t>Wells</t>
  </si>
  <si>
    <t>Williams</t>
  </si>
  <si>
    <t xml:space="preserve">Region: </t>
  </si>
  <si>
    <t>Housing Trust Fund</t>
  </si>
  <si>
    <t>Housing Incentive Fund</t>
  </si>
  <si>
    <t>Project-Based Voucher Monthly Payment Standard</t>
  </si>
  <si>
    <t>Debt:</t>
  </si>
  <si>
    <t>Term</t>
  </si>
  <si>
    <t>Amort</t>
  </si>
  <si>
    <t>Rate</t>
  </si>
  <si>
    <t>Permanent</t>
  </si>
  <si>
    <t>Construction</t>
  </si>
  <si>
    <t>Commitment Date</t>
  </si>
  <si>
    <t>Deferred Developer Fee</t>
  </si>
  <si>
    <t>Total Debt:</t>
  </si>
  <si>
    <t>Equity:</t>
  </si>
  <si>
    <t>Total Equity:</t>
  </si>
  <si>
    <t>Total Development Sources:</t>
  </si>
  <si>
    <t>Description of Contribution:</t>
  </si>
  <si>
    <t>Value:</t>
  </si>
  <si>
    <t>(GAP) / Excess Sources:</t>
  </si>
  <si>
    <t>LIHTC 20% Rent Limits</t>
  </si>
  <si>
    <t>LIHTC 30% Rent Limits</t>
  </si>
  <si>
    <t>LIHTC 40% Rent Limits</t>
  </si>
  <si>
    <t>LIHTC 50% Rent Limits</t>
  </si>
  <si>
    <t>LIHTC 60% Rent Limits</t>
  </si>
  <si>
    <t>LIHTC - 70% Rent Limits</t>
  </si>
  <si>
    <t>LIHTC 80% Rent Limits</t>
  </si>
  <si>
    <t>HTF 30% Rent Limits</t>
  </si>
  <si>
    <t>HIF 30% Rent Limits</t>
  </si>
  <si>
    <t>HIF 50% Rent Limits</t>
  </si>
  <si>
    <t>HIF 80% Rent Limits</t>
  </si>
  <si>
    <t>Maximum Gross Rent Limits</t>
  </si>
  <si>
    <t>Low Home</t>
  </si>
  <si>
    <t>High Home</t>
  </si>
  <si>
    <t>Operations Revenue:</t>
  </si>
  <si>
    <t># BR</t>
  </si>
  <si>
    <t># Units</t>
  </si>
  <si>
    <t>Monthly Rent</t>
  </si>
  <si>
    <t>Total Units:</t>
  </si>
  <si>
    <t>Other Income:</t>
  </si>
  <si>
    <t>Monthly</t>
  </si>
  <si>
    <t>Annual</t>
  </si>
  <si>
    <t>Total Other Income</t>
  </si>
  <si>
    <t>Total Monthly Income</t>
  </si>
  <si>
    <t>Effective Gross Income:</t>
  </si>
  <si>
    <t>Operations Expenses:</t>
  </si>
  <si>
    <t>Administrative Expenses</t>
  </si>
  <si>
    <t>Accounting/Audit</t>
  </si>
  <si>
    <t>Advertising</t>
  </si>
  <si>
    <t>Legal</t>
  </si>
  <si>
    <t>Management Fees</t>
  </si>
  <si>
    <t>Management Salaries, Payroll Taxes and Benefits</t>
  </si>
  <si>
    <t>Office Supplies / Postage</t>
  </si>
  <si>
    <t>Telecommunications</t>
  </si>
  <si>
    <t>Other Administrative Expenses:</t>
  </si>
  <si>
    <t>Subtotal - Administrative Expenses:</t>
  </si>
  <si>
    <t>Utility Expenses</t>
  </si>
  <si>
    <t>Natural Gas</t>
  </si>
  <si>
    <t xml:space="preserve">Electricity </t>
  </si>
  <si>
    <t>Fuel Oil</t>
  </si>
  <si>
    <t>Water and Sewer</t>
  </si>
  <si>
    <t>Other Utility Exps:</t>
  </si>
  <si>
    <t>Subtotal - Utility Expenses:</t>
  </si>
  <si>
    <t>Maintenance Expenses</t>
  </si>
  <si>
    <t>Maintenance Salaries, Payroll Taxes, and Benefits</t>
  </si>
  <si>
    <t>Maintenance Supplies</t>
  </si>
  <si>
    <t>Painting/Cleaning (Unit Turn-Around)</t>
  </si>
  <si>
    <t>Repairs</t>
  </si>
  <si>
    <t>Groundskeeping and Snow Removal</t>
  </si>
  <si>
    <t>Other Operating &amp; Maint. Exps:</t>
  </si>
  <si>
    <t>Subtotal - Operating and Maintenance Expenses:</t>
  </si>
  <si>
    <t>Fixed Expenses</t>
  </si>
  <si>
    <t>Real Estate Taxes</t>
  </si>
  <si>
    <t>Payment-In-Lieu-Of-Taxes</t>
  </si>
  <si>
    <t>Special Assessments</t>
  </si>
  <si>
    <t>Property Hazard and Liability Insurance</t>
  </si>
  <si>
    <t>Rent-Free Unit (For On-site Manager or Super)</t>
  </si>
  <si>
    <t>Other Fixed Expense:</t>
  </si>
  <si>
    <t>Subtotal - Tax and Insurance Expenses:</t>
  </si>
  <si>
    <t>Subtotal - Pre Reserves Operating Expenses:</t>
  </si>
  <si>
    <t>Reserve Account Contributions:</t>
  </si>
  <si>
    <t>Per Unit</t>
  </si>
  <si>
    <t>Replacement Reserves</t>
  </si>
  <si>
    <t>Subtotal - Reserve Account Contributions:</t>
  </si>
  <si>
    <t>Total Annual Operating Expenses:</t>
  </si>
  <si>
    <t>Total Annual Operating Expenses Per Unit:</t>
  </si>
  <si>
    <t>Unrestricted</t>
  </si>
  <si>
    <t>Staff</t>
  </si>
  <si>
    <t>Less Vacancy Factor</t>
  </si>
  <si>
    <t>Unit Designations</t>
  </si>
  <si>
    <t>20 / 20</t>
  </si>
  <si>
    <t>30 / 30</t>
  </si>
  <si>
    <t>40 / 40</t>
  </si>
  <si>
    <t>50 / 50</t>
  </si>
  <si>
    <t>60 / 60</t>
  </si>
  <si>
    <t>70 / 70</t>
  </si>
  <si>
    <t>80 / 80</t>
  </si>
  <si>
    <t>80 / 50</t>
  </si>
  <si>
    <t>140 / 80</t>
  </si>
  <si>
    <t>Project Program(s):</t>
  </si>
  <si>
    <t>LIHTC_</t>
  </si>
  <si>
    <t>HTF_</t>
  </si>
  <si>
    <t>HIF_</t>
  </si>
  <si>
    <t>PBV</t>
  </si>
  <si>
    <t>Elevator Service</t>
  </si>
  <si>
    <t>Fire Safety Service</t>
  </si>
  <si>
    <t>Other Service:</t>
  </si>
  <si>
    <t>Extermination Service</t>
  </si>
  <si>
    <t>Other Reserve:</t>
  </si>
  <si>
    <t>30-year Cash Flow Projection</t>
  </si>
  <si>
    <t>Income Adjuster:</t>
  </si>
  <si>
    <t>Expense Adjuster:</t>
  </si>
  <si>
    <t>Income:</t>
  </si>
  <si>
    <t>Year 1</t>
  </si>
  <si>
    <t>Year 2</t>
  </si>
  <si>
    <t>Year 3</t>
  </si>
  <si>
    <t>Year 4</t>
  </si>
  <si>
    <t>Year 5</t>
  </si>
  <si>
    <t>Year 6</t>
  </si>
  <si>
    <t>Year 7</t>
  </si>
  <si>
    <t>Year 8</t>
  </si>
  <si>
    <t>Year 9</t>
  </si>
  <si>
    <t>Year 10</t>
  </si>
  <si>
    <t>Effective Gross Income</t>
  </si>
  <si>
    <t>Expenses:</t>
  </si>
  <si>
    <t>Property Tax Abatement</t>
  </si>
  <si>
    <t>Reserve Account Contributions</t>
  </si>
  <si>
    <t>Total Expense:</t>
  </si>
  <si>
    <t xml:space="preserve">NOI </t>
  </si>
  <si>
    <t>Total Debt Service:</t>
  </si>
  <si>
    <t>Cashflow After Debt Service:</t>
  </si>
  <si>
    <t>Operating Expense Cushion:</t>
  </si>
  <si>
    <t>Year 11</t>
  </si>
  <si>
    <t>Year 12</t>
  </si>
  <si>
    <t>Year 13</t>
  </si>
  <si>
    <t>Year 14</t>
  </si>
  <si>
    <t>Year 15</t>
  </si>
  <si>
    <t>Year 16</t>
  </si>
  <si>
    <t>Year 17</t>
  </si>
  <si>
    <t>Year 18</t>
  </si>
  <si>
    <t>Year 19</t>
  </si>
  <si>
    <t>Year 20</t>
  </si>
  <si>
    <t>Year 21</t>
  </si>
  <si>
    <t>Year 22</t>
  </si>
  <si>
    <t>Year 23</t>
  </si>
  <si>
    <t>Year 24</t>
  </si>
  <si>
    <t>Year 25</t>
  </si>
  <si>
    <t>Year 26</t>
  </si>
  <si>
    <t>Year 27</t>
  </si>
  <si>
    <t>Year 28</t>
  </si>
  <si>
    <t>Year 29</t>
  </si>
  <si>
    <t>Year 30</t>
  </si>
  <si>
    <t>BND FlexPACE Interest Buydown</t>
  </si>
  <si>
    <t>Principal</t>
  </si>
  <si>
    <t>DS / Yr</t>
  </si>
  <si>
    <t>Community Match %:</t>
  </si>
  <si>
    <t>FlexPace Remaining to be Used</t>
  </si>
  <si>
    <t>Debt Payment(s) Estimator</t>
  </si>
  <si>
    <t>Maximum BND FlexPace Amt:</t>
  </si>
  <si>
    <t>FlexPace to offset Debt-Service:</t>
  </si>
  <si>
    <t>Y1 FlexPace Interest Buydown Estimator</t>
  </si>
  <si>
    <t>Rate Decrease</t>
  </si>
  <si>
    <t>In-Kind / Non-Cash Community Match:</t>
  </si>
  <si>
    <t>Fair Market Rents</t>
  </si>
  <si>
    <t>Commercial</t>
  </si>
  <si>
    <t>Total Project</t>
  </si>
  <si>
    <t>Acquisition:</t>
  </si>
  <si>
    <t>Costs</t>
  </si>
  <si>
    <t>Depreciable %</t>
  </si>
  <si>
    <t>4% LIHTC Basis</t>
  </si>
  <si>
    <t>9% LIHTC Basis</t>
  </si>
  <si>
    <t>Land Acquisition</t>
  </si>
  <si>
    <t>Building Acquisition</t>
  </si>
  <si>
    <t>Demolition</t>
  </si>
  <si>
    <t>Subtotal - Acquisition:</t>
  </si>
  <si>
    <t>Site Work:</t>
  </si>
  <si>
    <t>On-Site Improvements</t>
  </si>
  <si>
    <t>Off-Site Improvements</t>
  </si>
  <si>
    <t>Environmental Remediation</t>
  </si>
  <si>
    <t>Subtotal - Site Work:</t>
  </si>
  <si>
    <t>Rehabilitation and New Construction:</t>
  </si>
  <si>
    <t>Construction of New Structures</t>
  </si>
  <si>
    <t>Rehabilitation of Existing Structures</t>
  </si>
  <si>
    <t>Accessory Structures</t>
  </si>
  <si>
    <t>Contractor Profit</t>
  </si>
  <si>
    <t>Contractor Overhead</t>
  </si>
  <si>
    <t>Contractor General Requirements</t>
  </si>
  <si>
    <t>Permits and Impact Fees</t>
  </si>
  <si>
    <t>Fixtures, Furniture and Equipment</t>
  </si>
  <si>
    <t>Relocation Expense</t>
  </si>
  <si>
    <t>Construction Contingency Reserve Capitalization</t>
  </si>
  <si>
    <t>Subtotal - Rehab and New Construction:</t>
  </si>
  <si>
    <t>Professional Fees:</t>
  </si>
  <si>
    <t>Architect - Design</t>
  </si>
  <si>
    <t>Architect - Supervision</t>
  </si>
  <si>
    <t>Legal - Real Estate</t>
  </si>
  <si>
    <t>Engineering</t>
  </si>
  <si>
    <t>Surveying</t>
  </si>
  <si>
    <t>Subtotal - Professional Fees:</t>
  </si>
  <si>
    <t>Construction Interim Costs:</t>
  </si>
  <si>
    <t>Construction Hazard and Liability Insurance</t>
  </si>
  <si>
    <t>Payment and Performance Bond</t>
  </si>
  <si>
    <t>Credit Report</t>
  </si>
  <si>
    <t>Construction Loan Interest</t>
  </si>
  <si>
    <t>Construction Loan Origination Points</t>
  </si>
  <si>
    <t>Credit Enhancement</t>
  </si>
  <si>
    <t>Inspection Fees</t>
  </si>
  <si>
    <t>Title and Recording</t>
  </si>
  <si>
    <t>Interim Property Taxes</t>
  </si>
  <si>
    <t>Subtotal - Construction Interim Costs:</t>
  </si>
  <si>
    <t>Permanent Financing Costs:</t>
  </si>
  <si>
    <t>Bond Premium</t>
  </si>
  <si>
    <t>Discount Points</t>
  </si>
  <si>
    <t>Permanent Loan Origination Fees</t>
  </si>
  <si>
    <t>Subtotal - Permanent Financing Costs:</t>
  </si>
  <si>
    <t>Soft Costs:</t>
  </si>
  <si>
    <t>Appraisal</t>
  </si>
  <si>
    <t>Market Study</t>
  </si>
  <si>
    <t>Environmental Study</t>
  </si>
  <si>
    <t>Tax Credit Fees</t>
  </si>
  <si>
    <t>Marketing Expense</t>
  </si>
  <si>
    <t>Cost Certification</t>
  </si>
  <si>
    <t>Subtotal - Soft Costs:</t>
  </si>
  <si>
    <t>Syndication Costs:</t>
  </si>
  <si>
    <t>Tax Opinion</t>
  </si>
  <si>
    <t>Subtotal - Syndication Costs:</t>
  </si>
  <si>
    <t>Developer Fees:</t>
  </si>
  <si>
    <t>Developer Fees - During / At Completion</t>
  </si>
  <si>
    <t>Developer Fees - Deferred</t>
  </si>
  <si>
    <t>Consultant Fees</t>
  </si>
  <si>
    <t>Subtotal - Developer Fees:</t>
  </si>
  <si>
    <t>Reserve Capitalization:</t>
  </si>
  <si>
    <t>Rent-Up Reserve Account Capitalization</t>
  </si>
  <si>
    <t>Operating &amp; Maintenance Reserve Capitalization</t>
  </si>
  <si>
    <t>Replacement Reserve Account Capitalization</t>
  </si>
  <si>
    <t>Subtotal - Reserves Capitalization:</t>
  </si>
  <si>
    <t>TOTALS:</t>
  </si>
  <si>
    <t>Total Dev't Cost Per</t>
  </si>
  <si>
    <t>Unit</t>
  </si>
  <si>
    <t>Total Basis Per</t>
  </si>
  <si>
    <t>Bedroom</t>
  </si>
  <si>
    <t>Hard Costs Per</t>
  </si>
  <si>
    <t>% of TDC</t>
  </si>
  <si>
    <t>Acquisition</t>
  </si>
  <si>
    <t>Hard Costs</t>
  </si>
  <si>
    <t>Basis</t>
  </si>
  <si>
    <t>Total Contractor P / OH / GR:</t>
  </si>
  <si>
    <t>Effective</t>
  </si>
  <si>
    <t>Parking SqFt</t>
  </si>
  <si>
    <t>Storage SqFt</t>
  </si>
  <si>
    <t>SqFt</t>
  </si>
  <si>
    <t>Operating Budget</t>
  </si>
  <si>
    <t>Project Square Footage Detail</t>
  </si>
  <si>
    <t>Public Project Name:</t>
  </si>
  <si>
    <t>Is Subsidy Layering Review Required?</t>
  </si>
  <si>
    <t>LIHTC Units:</t>
  </si>
  <si>
    <t>SUMMARY</t>
  </si>
  <si>
    <t>Safe Harbor Standard</t>
  </si>
  <si>
    <t>Ceiling Standard</t>
  </si>
  <si>
    <t>Subsidy Layering Guideline Standards</t>
  </si>
  <si>
    <t>Net Equity Proceeds from Syndication</t>
  </si>
  <si>
    <t>Market Rate</t>
  </si>
  <si>
    <t>Debt Coverage Ratio</t>
  </si>
  <si>
    <t>Net Cash Flow as Percentage of Expenses</t>
  </si>
  <si>
    <t>Gross LIHTC Equity Syndication Proceeds from Investor</t>
  </si>
  <si>
    <t>Equity Proceeds Not Available for Project Uses</t>
  </si>
  <si>
    <t>Bridge Financing Costs (on loans to be repaid by equity)</t>
  </si>
  <si>
    <t>ii</t>
  </si>
  <si>
    <t>Other Syndication Fees and Expenses</t>
  </si>
  <si>
    <t>Ownership entity organizational and legal costs</t>
  </si>
  <si>
    <t>Tax credit fees (to LIHTC-award agency, etc)</t>
  </si>
  <si>
    <t>Total deductions from equity syndication proceeds</t>
  </si>
  <si>
    <t>Amount of Equity Contribution Per Dollar of Tax Credit to the Project</t>
  </si>
  <si>
    <t>Net Equity Proceeds (Gross LIHTC proceeds less TC fees and costs)</t>
  </si>
  <si>
    <t>Annual tax credit allocation</t>
  </si>
  <si>
    <t>Equals total LIHTC allocation to project</t>
  </si>
  <si>
    <t>Equals LIHTC allocation to the investor</t>
  </si>
  <si>
    <t>Net Equity Proceeds Per Net TC Dollar</t>
  </si>
  <si>
    <t>Net Operating Income</t>
  </si>
  <si>
    <t>Total Operating Income (EGI)</t>
  </si>
  <si>
    <t>Debt Coverage Ratio (NOI/DS)</t>
  </si>
  <si>
    <t>Net Cash Flow (NOI-DS)</t>
  </si>
  <si>
    <t>Net Cash Flow as a % of Expenses (NCF/OE)</t>
  </si>
  <si>
    <t>NOTES:</t>
  </si>
  <si>
    <t># PBVs</t>
  </si>
  <si>
    <t>Contract Rent</t>
  </si>
  <si>
    <t>Gross Rent</t>
  </si>
  <si>
    <t>One Bedroom</t>
  </si>
  <si>
    <t>Two Bedroom</t>
  </si>
  <si>
    <t>Three Bedroom</t>
  </si>
  <si>
    <t>Four Bedroom</t>
  </si>
  <si>
    <t>Project Location (City &amp; State):</t>
  </si>
  <si>
    <t>HCA Performing Review:</t>
  </si>
  <si>
    <t>North Dakota Housing Finance Agency</t>
  </si>
  <si>
    <t>HUD Field Office Name &amp; Code:</t>
  </si>
  <si>
    <t>Denver Multifamily Hub - 8APH</t>
  </si>
  <si>
    <t>HUD Field Office POC:</t>
  </si>
  <si>
    <t>Residents Being Served:</t>
  </si>
  <si>
    <t>Supportive Services Provided?</t>
  </si>
  <si>
    <t>Type of Development:</t>
  </si>
  <si>
    <t>Total # of Units in Project:</t>
  </si>
  <si>
    <t>Permanent Debt:</t>
  </si>
  <si>
    <t>LIHTC Price per Credit:</t>
  </si>
  <si>
    <t>Contractor Profit / General Conditions / Overhead</t>
  </si>
  <si>
    <t>6% / 2% / 6%</t>
  </si>
  <si>
    <t>This  
Project</t>
  </si>
  <si>
    <t>Calculation of Net Equity Proceeds from Syndication</t>
  </si>
  <si>
    <t>Calculation of Net Cash Flow</t>
  </si>
  <si>
    <t>Developer Fee(s)</t>
  </si>
  <si>
    <t>Multiplied by 10 years</t>
  </si>
  <si>
    <t>Multiplied by investor's ownership percentage</t>
  </si>
  <si>
    <t>Analysis must confirm that only reasonable, market-rate bridge loan interest and costs are recognized (to avoid excess profits that may result when loans are not negotiated through arm's-length transactions).</t>
  </si>
  <si>
    <t>Syndication expenses are total costs (other than bridge loan interest and costs) incurred by the owner in obtaining cash for the sale of tax credits to investors.  Include only those expenses incurred because of the extraordinary legal, organizational and accounting services and activities associated with utilizing tax credits.</t>
  </si>
  <si>
    <t>PHA Code</t>
  </si>
  <si>
    <t>PHA Name</t>
  </si>
  <si>
    <t>Eileen Hearty</t>
  </si>
  <si>
    <t>RENT INFORMATION AND PROJECT SUMMARY</t>
  </si>
  <si>
    <t>Rent Information</t>
  </si>
  <si>
    <t>If yes, what subsidy(ies) trigger the review?</t>
  </si>
  <si>
    <t>Subsidy Layering Analysis</t>
  </si>
  <si>
    <t>20%</t>
  </si>
  <si>
    <t>30%</t>
  </si>
  <si>
    <t>40%</t>
  </si>
  <si>
    <t>50%</t>
  </si>
  <si>
    <t>60%</t>
  </si>
  <si>
    <t>70%</t>
  </si>
  <si>
    <t>80%</t>
  </si>
  <si>
    <t># Stalls</t>
  </si>
  <si>
    <t>LIHTC Units</t>
  </si>
  <si>
    <t>Other Restricted Units</t>
  </si>
  <si>
    <t>Common Space</t>
  </si>
  <si>
    <t>Unrestricted Units</t>
  </si>
  <si>
    <t>Unit Count &amp; Square Footage</t>
  </si>
  <si>
    <t>Parking Structure(s):</t>
  </si>
  <si>
    <t>Storage Structure(s):</t>
  </si>
  <si>
    <t>Other Structures(s):</t>
  </si>
  <si>
    <t>Total Project:</t>
  </si>
  <si>
    <t>Storage Structure</t>
  </si>
  <si>
    <t xml:space="preserve"> Common SqFt</t>
  </si>
  <si>
    <t>Designation</t>
  </si>
  <si>
    <t>BR #</t>
  </si>
  <si>
    <t>Other Restricted</t>
  </si>
  <si>
    <t>Other Structure</t>
  </si>
  <si>
    <t>Parking Structure</t>
  </si>
  <si>
    <t># Units / Spaces</t>
  </si>
  <si>
    <t>Per Unit Count</t>
  </si>
  <si>
    <t>Per Sqft</t>
  </si>
  <si>
    <t>Applicable Fraction</t>
  </si>
  <si>
    <t>Average Affordability</t>
  </si>
  <si>
    <t>ZIP:</t>
  </si>
  <si>
    <t>City:</t>
  </si>
  <si>
    <t>State:</t>
  </si>
  <si>
    <t>Low Income Housing Tax Credit (LIHTC)</t>
  </si>
  <si>
    <t>National Housing Trust Fund (HTF)</t>
  </si>
  <si>
    <t>Housing Incentive Fund (HIF)</t>
  </si>
  <si>
    <t>Unit Type</t>
  </si>
  <si>
    <r>
      <t xml:space="preserve">Staff-Occupied Units </t>
    </r>
    <r>
      <rPr>
        <sz val="8"/>
        <color theme="1"/>
        <rFont val="Calibri"/>
        <family val="2"/>
        <scheme val="minor"/>
      </rPr>
      <t>(treated as Common Space)</t>
    </r>
  </si>
  <si>
    <t>Residential</t>
  </si>
  <si>
    <t>HTF Units:</t>
  </si>
  <si>
    <t>Total Project Units:</t>
  </si>
  <si>
    <t>Basis Calculation</t>
  </si>
  <si>
    <t>Subtotal</t>
  </si>
  <si>
    <t>Starting Eligible Basis:</t>
  </si>
  <si>
    <t>Less Grants:</t>
  </si>
  <si>
    <t>Less Nonqualified Financing:</t>
  </si>
  <si>
    <t>Less Historic Tax Credits:</t>
  </si>
  <si>
    <t>Less Acquisition:</t>
  </si>
  <si>
    <t>Add back Acquisition:</t>
  </si>
  <si>
    <t>Adjusted Eligible Basis with Boost:</t>
  </si>
  <si>
    <t>Applicable Fraction:</t>
  </si>
  <si>
    <t>Qualified Basis:</t>
  </si>
  <si>
    <t>Tax Credit Percentage:</t>
  </si>
  <si>
    <t>Tax Credits Available:</t>
  </si>
  <si>
    <r>
      <t xml:space="preserve">Basis Boost </t>
    </r>
    <r>
      <rPr>
        <sz val="8"/>
        <rFont val="Calibri"/>
        <family val="2"/>
        <scheme val="minor"/>
      </rPr>
      <t>(if eligible)</t>
    </r>
    <r>
      <rPr>
        <sz val="11"/>
        <rFont val="Calibri"/>
        <family val="2"/>
        <scheme val="minor"/>
      </rPr>
      <t>:</t>
    </r>
  </si>
  <si>
    <t>Basis Boost Reason</t>
  </si>
  <si>
    <t>20% of Units at ELI</t>
  </si>
  <si>
    <t>Infill with Demolition</t>
  </si>
  <si>
    <t>Low-Rent Rural</t>
  </si>
  <si>
    <t>Opportunity Zone</t>
  </si>
  <si>
    <t>Difficult to Develop Area</t>
  </si>
  <si>
    <t>If Yes, Reason:</t>
  </si>
  <si>
    <t>Price Per Tax Credit:</t>
  </si>
  <si>
    <t>Basis Boost</t>
  </si>
  <si>
    <t>Eligible for Basis Boost:</t>
  </si>
  <si>
    <t>Permanent Supportive Housing</t>
  </si>
  <si>
    <t>Gap Calculation</t>
  </si>
  <si>
    <t>Total Eligible Basis:</t>
  </si>
  <si>
    <t>Total Project Cost:</t>
  </si>
  <si>
    <t>Equity Gap:</t>
  </si>
  <si>
    <t>Maximum Tax Credits per Gap:</t>
  </si>
  <si>
    <t>Low Income Housing Tax Credit Calculation</t>
  </si>
  <si>
    <t>Syndication Analysis</t>
  </si>
  <si>
    <t>Attorney</t>
  </si>
  <si>
    <t>Accountant</t>
  </si>
  <si>
    <t>Consultant</t>
  </si>
  <si>
    <t>Broker</t>
  </si>
  <si>
    <t>Less:</t>
  </si>
  <si>
    <t>Gross LIHTC Proceeds:</t>
  </si>
  <si>
    <t>Net LIHTC Proceeds:</t>
  </si>
  <si>
    <t>Value per Tax Credit:</t>
  </si>
  <si>
    <t>Years Credits are Taken:</t>
  </si>
  <si>
    <t>30% PV</t>
  </si>
  <si>
    <t>70% PV</t>
  </si>
  <si>
    <t>Maximum Tax Credits per Basis:</t>
  </si>
  <si>
    <r>
      <t xml:space="preserve">Residential </t>
    </r>
    <r>
      <rPr>
        <b/>
        <u/>
        <sz val="8"/>
        <rFont val="Calibri"/>
        <family val="2"/>
        <scheme val="minor"/>
      </rPr>
      <t>(including associated common space)</t>
    </r>
  </si>
  <si>
    <t>Calculation of Year 1 Debt Coverage Ratio</t>
  </si>
  <si>
    <t>LIHTCs Requested:</t>
  </si>
  <si>
    <t>HIF-Assisted Units Calculation:</t>
  </si>
  <si>
    <t>% of Total Residental Costs:</t>
  </si>
  <si>
    <t>Residential Unit Designations</t>
  </si>
  <si>
    <t>Funding Sources</t>
  </si>
  <si>
    <t>PHA</t>
  </si>
  <si>
    <t>Housing Authority of the County of Ransom</t>
  </si>
  <si>
    <t>LaMoure County Housing Authority</t>
  </si>
  <si>
    <t>Mcintosh County Housing Authority</t>
  </si>
  <si>
    <t>Burleigh County Housing Authority</t>
  </si>
  <si>
    <t>ND025</t>
  </si>
  <si>
    <t>ND038</t>
  </si>
  <si>
    <t>ND039</t>
  </si>
  <si>
    <t>ND901</t>
  </si>
  <si>
    <t>ND021</t>
  </si>
  <si>
    <t>Towner County Housing Authority</t>
  </si>
  <si>
    <t>ND009</t>
  </si>
  <si>
    <t>Pembina County Housing Authority</t>
  </si>
  <si>
    <t>ND044</t>
  </si>
  <si>
    <t>Ramsey County Housing Authority</t>
  </si>
  <si>
    <t>ND013</t>
  </si>
  <si>
    <t>Stark County Housing Authority</t>
  </si>
  <si>
    <t>ND031</t>
  </si>
  <si>
    <t>McKenzie County Housing Authority</t>
  </si>
  <si>
    <t>ND036</t>
  </si>
  <si>
    <t>Dunn County Housing Authority</t>
  </si>
  <si>
    <t>ND037</t>
  </si>
  <si>
    <t>Dickey / Sargent Counties</t>
  </si>
  <si>
    <t>ND052</t>
  </si>
  <si>
    <t>Fargo Housing and Redevelopment Authority</t>
  </si>
  <si>
    <t>ND014</t>
  </si>
  <si>
    <t>Walsh County Housing Authority</t>
  </si>
  <si>
    <t>ND049</t>
  </si>
  <si>
    <t>Grand Forks Housing Authority</t>
  </si>
  <si>
    <t>ND012</t>
  </si>
  <si>
    <t>Traill County Housing Authority</t>
  </si>
  <si>
    <t>ND019</t>
  </si>
  <si>
    <t>Great Plains Housing Authority</t>
  </si>
  <si>
    <t>ND011</t>
  </si>
  <si>
    <t>Nelson County Housing Authority</t>
  </si>
  <si>
    <t>ND058</t>
  </si>
  <si>
    <t>Emmons County Housing Authority</t>
  </si>
  <si>
    <t>ND054</t>
  </si>
  <si>
    <t>Morton County Housing Authority</t>
  </si>
  <si>
    <t>ND010</t>
  </si>
  <si>
    <t>Mercer County Housing Authority</t>
  </si>
  <si>
    <t>ND015</t>
  </si>
  <si>
    <t>Benson County Housing Authority</t>
  </si>
  <si>
    <t>ND030</t>
  </si>
  <si>
    <t>Housing Authority of Mountrail County</t>
  </si>
  <si>
    <t>ND026</t>
  </si>
  <si>
    <t>McHenry / Pierce County Housing Authority</t>
  </si>
  <si>
    <t>ND055</t>
  </si>
  <si>
    <t>Minot Housing Authority</t>
  </si>
  <si>
    <t>ND017</t>
  </si>
  <si>
    <t>Eddy County Housing Authority</t>
  </si>
  <si>
    <t>ND016</t>
  </si>
  <si>
    <t>Rolette County Housing Authority</t>
  </si>
  <si>
    <t>ND003</t>
  </si>
  <si>
    <t>Northwest Regional Housing Authority</t>
  </si>
  <si>
    <t>ND070</t>
  </si>
  <si>
    <t>Barnes County Housing Authority</t>
  </si>
  <si>
    <t>ND022</t>
  </si>
  <si>
    <t>Richland County Housing Authority</t>
  </si>
  <si>
    <t>ND035</t>
  </si>
  <si>
    <t>Housing Authority of Cass County</t>
  </si>
  <si>
    <t>ND001</t>
  </si>
  <si>
    <t>Housing Authority of the City of Williston</t>
  </si>
  <si>
    <t>ND002</t>
  </si>
  <si>
    <t>Public Housing Authorities</t>
  </si>
  <si>
    <t>112 NE 1st St</t>
  </si>
  <si>
    <t>Ashley</t>
  </si>
  <si>
    <t>Code</t>
  </si>
  <si>
    <t>City</t>
  </si>
  <si>
    <t>State</t>
  </si>
  <si>
    <t>Zip</t>
  </si>
  <si>
    <t>Physical Address</t>
  </si>
  <si>
    <t>2624 Vermont Ave</t>
  </si>
  <si>
    <t>Bismarck</t>
  </si>
  <si>
    <t>410 S 2nd St</t>
  </si>
  <si>
    <t>808 6th St</t>
  </si>
  <si>
    <t>Cando</t>
  </si>
  <si>
    <t>PO Box 203</t>
  </si>
  <si>
    <t>605 3rd St NE</t>
  </si>
  <si>
    <t>Devils Lake</t>
  </si>
  <si>
    <t>1449 W Villard</t>
  </si>
  <si>
    <t>Dickinson</t>
  </si>
  <si>
    <t>309 2nd St N</t>
  </si>
  <si>
    <t>Ellendale</t>
  </si>
  <si>
    <t>325 Broadway</t>
  </si>
  <si>
    <t>Fargo</t>
  </si>
  <si>
    <t>Minot</t>
  </si>
  <si>
    <t>600 E 9th St</t>
  </si>
  <si>
    <t>Grafton</t>
  </si>
  <si>
    <t>1405 1st Ave N</t>
  </si>
  <si>
    <t>PO Box 369</t>
  </si>
  <si>
    <t>Hillsboro</t>
  </si>
  <si>
    <t>300 2nd Ave NE, Ste 200</t>
  </si>
  <si>
    <t>Jamestown</t>
  </si>
  <si>
    <t>139 2nd St W</t>
  </si>
  <si>
    <t>Lakota</t>
  </si>
  <si>
    <t>1st</t>
  </si>
  <si>
    <t>Linton</t>
  </si>
  <si>
    <t>1500 3rd Ave NW</t>
  </si>
  <si>
    <t>Mandan</t>
  </si>
  <si>
    <t>201 Main St W</t>
  </si>
  <si>
    <t>Minnewaukan</t>
  </si>
  <si>
    <t>108 Burdick Expwy E</t>
  </si>
  <si>
    <t>524 Central Ave</t>
  </si>
  <si>
    <t>New Rockford</t>
  </si>
  <si>
    <t>509 5th Ave</t>
  </si>
  <si>
    <t>9250 County Rd 3</t>
  </si>
  <si>
    <t>Tolley</t>
  </si>
  <si>
    <t>120 12th St NW</t>
  </si>
  <si>
    <t>Valley City</t>
  </si>
  <si>
    <t>230 8th Ave W</t>
  </si>
  <si>
    <t>West Fargo</t>
  </si>
  <si>
    <t>1801 8th Ave W</t>
  </si>
  <si>
    <t>Williston</t>
  </si>
  <si>
    <t># Rooms</t>
  </si>
  <si>
    <t>Elderly</t>
  </si>
  <si>
    <t>Disabled</t>
  </si>
  <si>
    <t>Low Income</t>
  </si>
  <si>
    <t>Homeless</t>
  </si>
  <si>
    <t>Veterans</t>
  </si>
  <si>
    <t>Residents Being Served</t>
  </si>
  <si>
    <t>UnRestricted</t>
  </si>
  <si>
    <t>Bridge Loan Costs</t>
  </si>
  <si>
    <t>Bridge Loan Interest</t>
  </si>
  <si>
    <t>Syndicator</t>
  </si>
  <si>
    <r>
      <t xml:space="preserve">Enter </t>
    </r>
    <r>
      <rPr>
        <b/>
        <u/>
        <sz val="11"/>
        <rFont val="Calibri"/>
        <family val="2"/>
        <scheme val="minor"/>
      </rPr>
      <t>ALL</t>
    </r>
    <r>
      <rPr>
        <b/>
        <sz val="11"/>
        <rFont val="Calibri"/>
        <family val="2"/>
        <scheme val="minor"/>
      </rPr>
      <t xml:space="preserve"> Utility Allowances </t>
    </r>
    <r>
      <rPr>
        <b/>
        <sz val="8"/>
        <rFont val="Calibri"/>
        <family val="2"/>
        <scheme val="minor"/>
      </rPr>
      <t>(only Tenant-Paid will be summed)</t>
    </r>
  </si>
  <si>
    <t>Rent Restriction</t>
  </si>
  <si>
    <t>Rent Restrictions</t>
  </si>
  <si>
    <t>LIHTC_Rents</t>
  </si>
  <si>
    <t>HTF_Rents</t>
  </si>
  <si>
    <t>HIF_Rents</t>
  </si>
  <si>
    <t>LIHTC_HTF_HIF_Rents</t>
  </si>
  <si>
    <t>LIHTC_HTF_HIF_</t>
  </si>
  <si>
    <t>LIHTC_HTF_</t>
  </si>
  <si>
    <t>LIHTC_HIF_</t>
  </si>
  <si>
    <t>HTF_HIF_</t>
  </si>
  <si>
    <t>LIHTC_HTF_Rents</t>
  </si>
  <si>
    <t>LIHTC_HIF_Rents</t>
  </si>
  <si>
    <t>HTF_HIF_Rents</t>
  </si>
  <si>
    <t>Combined Applicable Gross Rent Limits</t>
  </si>
  <si>
    <t>PBV Monthly Payment Standard</t>
  </si>
  <si>
    <t>Tenant-Paid Utility Allowances</t>
  </si>
  <si>
    <t>Annual Income</t>
  </si>
  <si>
    <t>Monthly Income:</t>
  </si>
  <si>
    <t>LIHTC</t>
  </si>
  <si>
    <t>Gross</t>
  </si>
  <si>
    <t>Net</t>
  </si>
  <si>
    <t>Rent Limit</t>
  </si>
  <si>
    <t>LIHTC/PBV</t>
  </si>
  <si>
    <t>HTF/HIF/PBV</t>
  </si>
  <si>
    <t>HTF/HIF</t>
  </si>
  <si>
    <t>NDHFA Compliance Monitoring Fee</t>
  </si>
  <si>
    <t>Amort (M)</t>
  </si>
  <si>
    <t>Debt Terms (Y)</t>
  </si>
  <si>
    <t>Units Fixed or Floating:</t>
  </si>
  <si>
    <t>Fixed</t>
  </si>
  <si>
    <t>Floating</t>
  </si>
  <si>
    <t>Multiple Buildings?</t>
  </si>
  <si>
    <t>Buildings Summary</t>
  </si>
  <si>
    <t>Building #:</t>
  </si>
  <si>
    <t>If the project contains commercial use space, development costs must be divided between Residential and Commercial.</t>
  </si>
  <si>
    <t>Building Stories:</t>
  </si>
  <si>
    <t>Elevator:</t>
  </si>
  <si>
    <t>Controlled Access Building:</t>
  </si>
  <si>
    <t>Rent Floor Election:</t>
  </si>
  <si>
    <t>Credit Allocation</t>
  </si>
  <si>
    <t>Placed-In-Service Date</t>
  </si>
  <si>
    <t>Loan Closing</t>
  </si>
  <si>
    <t>20% of Units @ 50% AMI</t>
  </si>
  <si>
    <t>40% of Units @ 60% AMI</t>
  </si>
  <si>
    <t>Credit Period Start:</t>
  </si>
  <si>
    <t>Family / General Occupancy:</t>
  </si>
  <si>
    <t>Senior Restricted:</t>
  </si>
  <si>
    <t>Homelessness:</t>
  </si>
  <si>
    <t>55+</t>
  </si>
  <si>
    <t>62+</t>
  </si>
  <si>
    <r>
      <t xml:space="preserve">Occupancy Target(s) </t>
    </r>
    <r>
      <rPr>
        <sz val="8"/>
        <rFont val="Calibri"/>
        <family val="2"/>
        <scheme val="minor"/>
      </rPr>
      <t>(indicate number of units associated to any target present in the project)</t>
    </r>
  </si>
  <si>
    <t>Affordability Period Start</t>
  </si>
  <si>
    <t>HOME Investment Partnerships (HOME)</t>
  </si>
  <si>
    <t>HOME Project:</t>
  </si>
  <si>
    <t>HOME Funds Requested:</t>
  </si>
  <si>
    <t>Low-HOME</t>
  </si>
  <si>
    <t>High-HOME</t>
  </si>
  <si>
    <t>HOME Project Type</t>
  </si>
  <si>
    <t>HOME Investment Partnerships</t>
  </si>
  <si>
    <t>HOME_</t>
  </si>
  <si>
    <t>50 / Low-HOME</t>
  </si>
  <si>
    <t>60 / High-HOME</t>
  </si>
  <si>
    <t>HOME_Rents</t>
  </si>
  <si>
    <t>LIHTC_HTF_HOME_HIF_Rents</t>
  </si>
  <si>
    <t>LIHTC_HTF_HOME_</t>
  </si>
  <si>
    <t>LIHTC_HTF_HOME_Rents</t>
  </si>
  <si>
    <t>LIHTC_HOME_HIF_Rents</t>
  </si>
  <si>
    <t>LIHTC_HOME_</t>
  </si>
  <si>
    <t>LIHTC_HTF_HOME_HIF_</t>
  </si>
  <si>
    <t>HTF_HOME_</t>
  </si>
  <si>
    <t>HOME_HIF_</t>
  </si>
  <si>
    <t>HTF_HOME_HIF_</t>
  </si>
  <si>
    <t>LIHTC_HOME_HIF_</t>
  </si>
  <si>
    <t>LIHTC_HOME_Rents</t>
  </si>
  <si>
    <t>HTF_HOME_Rents</t>
  </si>
  <si>
    <t>HOME_HIF_Rents</t>
  </si>
  <si>
    <t>HTF_HOME_HIF_Rents</t>
  </si>
  <si>
    <t>Years</t>
  </si>
  <si>
    <t>Rehab per Unit</t>
  </si>
  <si>
    <t>HOME Units:</t>
  </si>
  <si>
    <t>1) Low Income Housing Tax Credits (LIHTC)</t>
  </si>
  <si>
    <t>2) National Housing Trust Fund (HTF)</t>
  </si>
  <si>
    <t>3) HOME Investment Partnerships (HOME)</t>
  </si>
  <si>
    <t>4) Housing Incentive Fund (HIF)</t>
  </si>
  <si>
    <t>Qualified Census Tract</t>
  </si>
  <si>
    <t>Serves Special Needs</t>
  </si>
  <si>
    <t>Tribal Reservation</t>
  </si>
  <si>
    <t>Infill with Environmental Remediation</t>
  </si>
  <si>
    <t>Rural with Fair Market Rents</t>
  </si>
  <si>
    <t>Rural with Rents &lt;20% LIHTC Rents</t>
  </si>
  <si>
    <r>
      <t xml:space="preserve">Maximum Tax Credits Eligible to Project </t>
    </r>
    <r>
      <rPr>
        <b/>
        <sz val="9"/>
        <rFont val="Calibri"/>
        <family val="2"/>
        <scheme val="minor"/>
      </rPr>
      <t>(Lesser of; Basis Calculation or Gap Calculation)*</t>
    </r>
  </si>
  <si>
    <t>Housing Trust Fund  Project Type</t>
  </si>
  <si>
    <t>Housing Incentive Fund Project Type</t>
  </si>
  <si>
    <t>The undersigned hereby certifies that the information provided in this certification is true, correct, and complete. The undersigned agrees that NDHFA may request additional information if deemed necessary.</t>
  </si>
  <si>
    <t>Date</t>
  </si>
  <si>
    <t>Total:</t>
  </si>
  <si>
    <t>80% AMI with High-HOME Rents:</t>
  </si>
  <si>
    <t>HOME-Assisted Unit Restrictions</t>
  </si>
  <si>
    <t>50% AMI with Low-HOME Rents:</t>
  </si>
  <si>
    <t>HOME Funds per HOME-Assisted Unit:</t>
  </si>
  <si>
    <t>BRs</t>
  </si>
  <si>
    <t>Baths</t>
  </si>
  <si>
    <t>BRs/ Baths</t>
  </si>
  <si>
    <t>Configuration</t>
  </si>
  <si>
    <t>Sq. Ft.</t>
  </si>
  <si>
    <t>Finishes &amp; Amenities</t>
  </si>
  <si>
    <t>A</t>
  </si>
  <si>
    <t>B</t>
  </si>
  <si>
    <t>C</t>
  </si>
  <si>
    <t>D</t>
  </si>
  <si>
    <t>E</t>
  </si>
  <si>
    <t>F</t>
  </si>
  <si>
    <t>G</t>
  </si>
  <si>
    <t>H</t>
  </si>
  <si>
    <t>J</t>
  </si>
  <si>
    <t>Comparability Test Keys</t>
  </si>
  <si>
    <r>
      <t>►</t>
    </r>
    <r>
      <rPr>
        <u/>
        <sz val="11"/>
        <color theme="1"/>
        <rFont val="Calibri"/>
        <family val="2"/>
        <scheme val="minor"/>
      </rPr>
      <t>Beds/Baths</t>
    </r>
    <r>
      <rPr>
        <sz val="11"/>
        <color theme="1"/>
        <rFont val="Calibri"/>
        <family val="1"/>
        <scheme val="minor"/>
      </rPr>
      <t>: All units identified have the same number of bedrooms and bathrooms.</t>
    </r>
  </si>
  <si>
    <r>
      <rPr>
        <sz val="11"/>
        <color theme="1"/>
        <rFont val="Times New Roman"/>
        <family val="1"/>
      </rPr>
      <t>►</t>
    </r>
    <r>
      <rPr>
        <u/>
        <sz val="11"/>
        <color theme="1"/>
        <rFont val="Calibri"/>
        <family val="2"/>
        <scheme val="minor"/>
      </rPr>
      <t>Sq. Footage</t>
    </r>
    <r>
      <rPr>
        <sz val="11"/>
        <color theme="1"/>
        <rFont val="Calibri"/>
        <family val="2"/>
        <scheme val="minor"/>
      </rPr>
      <t>: All units of this type have square footage within a small variation of the average of this grouping of units.</t>
    </r>
  </si>
  <si>
    <r>
      <t>►</t>
    </r>
    <r>
      <rPr>
        <u/>
        <sz val="11"/>
        <color theme="1"/>
        <rFont val="Calibri"/>
        <family val="2"/>
        <scheme val="minor"/>
      </rPr>
      <t>Finishes/Amenities</t>
    </r>
    <r>
      <rPr>
        <sz val="11"/>
        <color theme="1"/>
        <rFont val="Calibri"/>
        <family val="1"/>
        <scheme val="minor"/>
      </rPr>
      <t>: All units in this type are substantially similar in terms of unit amenities, fixtures, and finishes.</t>
    </r>
  </si>
  <si>
    <t>I</t>
  </si>
  <si>
    <t>Address:</t>
  </si>
  <si>
    <r>
      <t>►</t>
    </r>
    <r>
      <rPr>
        <u/>
        <sz val="11"/>
        <color theme="1"/>
        <rFont val="Calibri"/>
        <family val="2"/>
        <scheme val="minor"/>
      </rPr>
      <t>Configuration</t>
    </r>
    <r>
      <rPr>
        <sz val="11"/>
        <color theme="1"/>
        <rFont val="Calibri"/>
        <family val="1"/>
        <scheme val="minor"/>
      </rPr>
      <t>: No other obvious differences between the units, such as add'l. rooms or significant differences in layout.</t>
    </r>
  </si>
  <si>
    <r>
      <rPr>
        <b/>
        <u/>
        <sz val="11"/>
        <color theme="1"/>
        <rFont val="Calibri"/>
        <family val="2"/>
        <scheme val="minor"/>
      </rPr>
      <t>PJ Determination</t>
    </r>
    <r>
      <rPr>
        <b/>
        <sz val="11"/>
        <color theme="1"/>
        <rFont val="Calibri"/>
        <family val="2"/>
        <scheme val="minor"/>
      </rPr>
      <t>: Units are</t>
    </r>
  </si>
  <si>
    <t>Determine</t>
  </si>
  <si>
    <t>from proposed</t>
  </si>
  <si>
    <t>Units are:</t>
  </si>
  <si>
    <t>Standard Method</t>
  </si>
  <si>
    <t>Relocation Costs:</t>
  </si>
  <si>
    <t>Capitalized Reserves:</t>
  </si>
  <si>
    <t>Off-Site Infrastructure:</t>
  </si>
  <si>
    <t>Free-Standing Accessory Structure Costs:</t>
  </si>
  <si>
    <t>Other Ineligible Costs:</t>
  </si>
  <si>
    <t>Organizational Costs:</t>
  </si>
  <si>
    <t>Eligible Project Costs:</t>
  </si>
  <si>
    <t>Eligible Costs / SqFt:</t>
  </si>
  <si>
    <t>Assign Relocation Costs Exclusively to HOME-Assisted Units?</t>
  </si>
  <si>
    <t>Unit-Specific Upgrades:</t>
  </si>
  <si>
    <t>Determine if Units are Comparable</t>
  </si>
  <si>
    <t>Comparability Test</t>
  </si>
  <si>
    <t>Building #</t>
  </si>
  <si>
    <t>Description / Note</t>
  </si>
  <si>
    <r>
      <rPr>
        <b/>
        <sz val="12"/>
        <color theme="1"/>
        <rFont val="Calibri"/>
        <family val="2"/>
        <scheme val="minor"/>
      </rPr>
      <t>Assign Units</t>
    </r>
    <r>
      <rPr>
        <sz val="12"/>
        <color theme="1"/>
        <rFont val="Calibri"/>
        <family val="2"/>
        <scheme val="minor"/>
      </rPr>
      <t xml:space="preserve"> - Input each </t>
    </r>
    <r>
      <rPr>
        <b/>
        <u/>
        <sz val="12"/>
        <color theme="1"/>
        <rFont val="Calibri"/>
        <family val="2"/>
        <scheme val="minor"/>
      </rPr>
      <t>Fixed HOME-Assisted Unit</t>
    </r>
    <r>
      <rPr>
        <sz val="12"/>
        <color theme="1"/>
        <rFont val="Calibri"/>
        <family val="2"/>
        <scheme val="minor"/>
      </rPr>
      <t xml:space="preserve"> below</t>
    </r>
  </si>
  <si>
    <t>Individual Unit Cost</t>
  </si>
  <si>
    <t>Acceptable Cost Allocation Method(s)</t>
  </si>
  <si>
    <t>Subtotal of HOME-Assisted Unit Costs</t>
  </si>
  <si>
    <r>
      <t xml:space="preserve">Relocation Costs allocated exclusively to HOME-Assisted Units </t>
    </r>
    <r>
      <rPr>
        <sz val="8"/>
        <color theme="1"/>
        <rFont val="Calibri"/>
        <family val="2"/>
        <scheme val="minor"/>
      </rPr>
      <t>(if applicable)</t>
    </r>
  </si>
  <si>
    <t>Actual Cost of HOME-Assisted Units</t>
  </si>
  <si>
    <t>Maximum Project Subsidy</t>
  </si>
  <si>
    <t>Maximum Subsidy per Unit</t>
  </si>
  <si>
    <t>Maximum Subsidy</t>
  </si>
  <si>
    <t>Maximum HOME Investment, lessor of</t>
  </si>
  <si>
    <t>Proposed HOME Investment</t>
  </si>
  <si>
    <t>Maximum HOME Investment</t>
  </si>
  <si>
    <t>HOME Share Ratio</t>
  </si>
  <si>
    <t>Eligible HOME Ratio</t>
  </si>
  <si>
    <t>Total # Units</t>
  </si>
  <si>
    <t>Average SqFt</t>
  </si>
  <si>
    <t>K</t>
  </si>
  <si>
    <t>L</t>
  </si>
  <si>
    <t>M</t>
  </si>
  <si>
    <t>N</t>
  </si>
  <si>
    <t>O</t>
  </si>
  <si>
    <t>P</t>
  </si>
  <si>
    <t>Q</t>
  </si>
  <si>
    <t>R</t>
  </si>
  <si>
    <t>S</t>
  </si>
  <si>
    <t>T</t>
  </si>
  <si>
    <t>V</t>
  </si>
  <si>
    <t>U</t>
  </si>
  <si>
    <t>W</t>
  </si>
  <si>
    <t>X</t>
  </si>
  <si>
    <t>Y</t>
  </si>
  <si>
    <t>Z</t>
  </si>
  <si>
    <t>Totals:</t>
  </si>
  <si>
    <t>Residential SqFt</t>
  </si>
  <si>
    <t>Required HOME-Assisted Units</t>
  </si>
  <si>
    <t># HOME-Assisted Units</t>
  </si>
  <si>
    <t>PJ Determination:
Units Comparable?</t>
  </si>
  <si>
    <t>Description / Model Name</t>
  </si>
  <si>
    <t>HOME-Assisted 
Unit(s) Cost</t>
  </si>
  <si>
    <t>Individual 
Unit Cost</t>
  </si>
  <si>
    <t>Proration Method to Determine HOME-Assisted Units Required</t>
  </si>
  <si>
    <t>Proration Method to Determine Maximum HOME Investment</t>
  </si>
  <si>
    <t># of HOME-Assisted Units Proposed</t>
  </si>
  <si>
    <t>HOME Share of Unit Type</t>
  </si>
  <si>
    <r>
      <t xml:space="preserve">Are Unit Designations </t>
    </r>
    <r>
      <rPr>
        <i/>
        <sz val="11"/>
        <color theme="1"/>
        <rFont val="Calibri"/>
        <family val="2"/>
        <scheme val="minor"/>
      </rPr>
      <t>Exactly</t>
    </r>
    <r>
      <rPr>
        <sz val="11"/>
        <color theme="1"/>
        <rFont val="Calibri"/>
        <family val="2"/>
        <scheme val="minor"/>
      </rPr>
      <t xml:space="preserve"> Proportional?</t>
    </r>
  </si>
  <si>
    <t>Not Provided</t>
  </si>
  <si>
    <r>
      <t xml:space="preserve">Subtotal of HOME-Assisted Unit Costs </t>
    </r>
    <r>
      <rPr>
        <sz val="8"/>
        <color theme="1"/>
        <rFont val="Calibri"/>
        <family val="2"/>
        <scheme val="minor"/>
      </rPr>
      <t>(HOME Share Ratio x Eligible Project Costs)</t>
    </r>
  </si>
  <si>
    <t>Hybrid Method to Determine Maximum HOME Investment</t>
  </si>
  <si>
    <r>
      <t xml:space="preserve">Are Unit Designations </t>
    </r>
    <r>
      <rPr>
        <i/>
        <sz val="11"/>
        <color theme="1"/>
        <rFont val="Calibri"/>
        <family val="2"/>
        <scheme val="minor"/>
      </rPr>
      <t>Roughly</t>
    </r>
    <r>
      <rPr>
        <sz val="11"/>
        <color theme="1"/>
        <rFont val="Calibri"/>
        <family val="2"/>
        <scheme val="minor"/>
      </rPr>
      <t xml:space="preserve"> Proportional?</t>
    </r>
  </si>
  <si>
    <t>"Precise" HOME #</t>
  </si>
  <si>
    <t>Allocation w/in +/-?</t>
  </si>
  <si>
    <t>Rounded Up</t>
  </si>
  <si>
    <t>Rounded Down</t>
  </si>
  <si>
    <t>HOME Units as % if Total Units</t>
  </si>
  <si>
    <t>Subtotal of HOME Unit Costs</t>
  </si>
  <si>
    <t>Eligible Residential Unit Designations</t>
  </si>
  <si>
    <t>&gt;30% &lt;=80% / &gt;30% &lt;=50%</t>
  </si>
  <si>
    <t>&lt;=30% / &lt;=30%</t>
  </si>
  <si>
    <t>&lt;=50% / &lt;=Low-HOME</t>
  </si>
  <si>
    <t>HIF-Assisted Unit Restrictions</t>
  </si>
  <si>
    <t>30% AMI with 30% Rents:</t>
  </si>
  <si>
    <t>80% AMI with 50% Rents:</t>
  </si>
  <si>
    <t>140% AMI with 80% Rents:</t>
  </si>
  <si>
    <t>80 / High-HOME</t>
  </si>
  <si>
    <t>70 / High-HOME</t>
  </si>
  <si>
    <t>&gt;80% &lt;=140% / &gt;50% &lt;=80%</t>
  </si>
  <si>
    <t>General Partner or Developer Signature</t>
  </si>
  <si>
    <t>Reasonably Expected Basis as of</t>
  </si>
  <si>
    <t>Managing GP %:</t>
  </si>
  <si>
    <t>PIS Date:</t>
  </si>
  <si>
    <t>Acquisition &amp; Rehab</t>
  </si>
  <si>
    <t>Acquisition &amp; New Const</t>
  </si>
  <si>
    <t>Housing Trust Fund Accomplishments Reporting</t>
  </si>
  <si>
    <t>HTF- Assisted Units:</t>
  </si>
  <si>
    <t>Energy Star Certified</t>
  </si>
  <si>
    <t>Section 504 Accessible</t>
  </si>
  <si>
    <t>Designated for Homeless Individuals</t>
  </si>
  <si>
    <t>Designated for Chronically Homeless</t>
  </si>
  <si>
    <t>Designated for Homless Veteran</t>
  </si>
  <si>
    <t>Designated for Homeless Families</t>
  </si>
  <si>
    <t>Designated for Persons with HIV / AIDS</t>
  </si>
  <si>
    <t>Designated for Victims of Domestic Violence</t>
  </si>
  <si>
    <t>Designated for Homeless Youth</t>
  </si>
  <si>
    <t>Designated for Yough Aging out of Foster Care</t>
  </si>
  <si>
    <t>Total Project Units</t>
  </si>
  <si>
    <t>HTF- Assisted Units</t>
  </si>
  <si>
    <t>Property Type:</t>
  </si>
  <si>
    <t>Property Type</t>
  </si>
  <si>
    <t>Apartment</t>
  </si>
  <si>
    <t>Designated for Disabled Individuals or Families
for Other than Mobility Impairments</t>
  </si>
  <si>
    <t>Units</t>
  </si>
  <si>
    <t>% Median Income</t>
  </si>
  <si>
    <t>% of Median Income</t>
  </si>
  <si>
    <t>Hispanic / Latino</t>
  </si>
  <si>
    <t>Race</t>
  </si>
  <si>
    <t>White</t>
  </si>
  <si>
    <t>Asian</t>
  </si>
  <si>
    <t>Asian &amp; White</t>
  </si>
  <si>
    <t>Black/African American</t>
  </si>
  <si>
    <t>American Indian/Alaskan Native</t>
  </si>
  <si>
    <t>Native Hawaiian/Other Pacific Islander</t>
  </si>
  <si>
    <t>American Indian/Alaskan Native &amp; White</t>
  </si>
  <si>
    <t>Black/African American &amp; White</t>
  </si>
  <si>
    <t>Other multi-racial</t>
  </si>
  <si>
    <t>Amer. Indian/Alaskan Native &amp; Black/African Amer.</t>
  </si>
  <si>
    <t>Household Size</t>
  </si>
  <si>
    <t>8+</t>
  </si>
  <si>
    <t>Household Type</t>
  </si>
  <si>
    <t>Single, Non-Elderly</t>
  </si>
  <si>
    <t>Single Parent</t>
  </si>
  <si>
    <t>Two Parents</t>
  </si>
  <si>
    <t>Assistance Type</t>
  </si>
  <si>
    <t>No Assistance</t>
  </si>
  <si>
    <t>Project-based Section 8</t>
  </si>
  <si>
    <t>Other Federal, State or Local Project-based assistance</t>
  </si>
  <si>
    <t>Tenant-based Section 8 (voucher)</t>
  </si>
  <si>
    <t>HOME TBRA</t>
  </si>
  <si>
    <t>Other Federal, State or Local Tenant-based assistance</t>
  </si>
  <si>
    <t>Condominium</t>
  </si>
  <si>
    <t>Cooperative</t>
  </si>
  <si>
    <t>SRO</t>
  </si>
  <si>
    <t>Rental Assistance Type</t>
  </si>
  <si>
    <t>&lt;= 30%</t>
  </si>
  <si>
    <t>Poverty Line</t>
  </si>
  <si>
    <t>HUD 4-P VLI</t>
  </si>
  <si>
    <t>HHS Guidline</t>
  </si>
  <si>
    <t>Mixed Use:</t>
  </si>
  <si>
    <t>Mixed Income:</t>
  </si>
  <si>
    <t>Housing Trust Fund Assisted-Unit Beneficiaries</t>
  </si>
  <si>
    <t>&gt; 30% &amp; PL &lt;= 50%</t>
  </si>
  <si>
    <t>&gt; 30% &lt;= Poverty Line</t>
  </si>
  <si>
    <t>Income Limits</t>
  </si>
  <si>
    <t>Unadjusted HTF</t>
  </si>
  <si>
    <t>Rent Limits</t>
  </si>
  <si>
    <t>Total Gross Monthly Rent</t>
  </si>
  <si>
    <t>Certified Annual Household Income</t>
  </si>
  <si>
    <t>HOME Investment Partnerships Accomplishments Reporting</t>
  </si>
  <si>
    <t>HOME Investment Partnerships Assisted-Unit Beneficiaries</t>
  </si>
  <si>
    <t>Designated for Homeless Persons and Families</t>
  </si>
  <si>
    <t>HOME- Assisted Units:</t>
  </si>
  <si>
    <t>HOME- Assisted Units</t>
  </si>
  <si>
    <t>HOME</t>
  </si>
  <si>
    <t>&gt; 30% &lt;= 50%</t>
  </si>
  <si>
    <t>&gt; 50% &lt;= 60%</t>
  </si>
  <si>
    <t>&gt; 60% &lt;= 80%</t>
  </si>
  <si>
    <t>Persons</t>
  </si>
  <si>
    <t># BRs</t>
  </si>
  <si>
    <t>US 4-Person LI (80%) Limit</t>
  </si>
  <si>
    <t>HTF
Income Limit</t>
  </si>
  <si>
    <t>PL
Income Limit</t>
  </si>
  <si>
    <t>HOME Unit Type</t>
  </si>
  <si>
    <t xml:space="preserve">This spreadsheet package (Workbook) has been created by the North Dakota Housing Finance Agency (NDHFA) and is designed to be used in conjunction with an application to NDHFA for one or more of the following affordable housing program(s); </t>
  </si>
  <si>
    <t>CF</t>
  </si>
  <si>
    <t>Soft Cost Contingency</t>
  </si>
  <si>
    <t>Allocation Date:</t>
  </si>
  <si>
    <t>Incurred
Basis as of</t>
  </si>
  <si>
    <t>Anticipated
Basis as of</t>
  </si>
  <si>
    <t>Incurred Basis:</t>
  </si>
  <si>
    <t>Anticipated Basis:</t>
  </si>
  <si>
    <t>If Incurred Basis does not equal at least 10%, Anticipated Basis must and an updated Owner Certification in which Incurred Basis does equal at least 10%, verified accurate by an approved 3rd party, is required within twelve months of the Allocation Date.</t>
  </si>
  <si>
    <t>Less Related Party Fees:</t>
  </si>
  <si>
    <t>Bedrooms</t>
  </si>
  <si>
    <t>Non-Elevator</t>
  </si>
  <si>
    <t>Elevator</t>
  </si>
  <si>
    <t>Section 234 - Condominium Housing</t>
  </si>
  <si>
    <t>North Dakota</t>
  </si>
  <si>
    <t>Standard Multiplier &amp; High Cost Area Revisions</t>
  </si>
  <si>
    <t>Tax Year after PIS Date</t>
  </si>
  <si>
    <t>Tax Year of PIS Date</t>
  </si>
  <si>
    <t>Acquisition of New Construction</t>
  </si>
  <si>
    <t>HOME Cost Allocation</t>
  </si>
  <si>
    <t>Add back Developer Fees:</t>
  </si>
  <si>
    <t>Total Proposed
HOME Investment:</t>
  </si>
  <si>
    <t>HTF Cost Allocation</t>
  </si>
  <si>
    <t>Total Proposed
HTF Investment:</t>
  </si>
  <si>
    <t>Ineligible HOME Development Costs</t>
  </si>
  <si>
    <r>
      <rPr>
        <b/>
        <sz val="12"/>
        <color theme="1"/>
        <rFont val="Calibri"/>
        <family val="2"/>
        <scheme val="minor"/>
      </rPr>
      <t>Assign Units</t>
    </r>
    <r>
      <rPr>
        <sz val="12"/>
        <color theme="1"/>
        <rFont val="Calibri"/>
        <family val="2"/>
        <scheme val="minor"/>
      </rPr>
      <t xml:space="preserve"> - Input each </t>
    </r>
    <r>
      <rPr>
        <b/>
        <u/>
        <sz val="12"/>
        <color theme="1"/>
        <rFont val="Calibri"/>
        <family val="2"/>
        <scheme val="minor"/>
      </rPr>
      <t>Fixed HTF-Assisted Unit</t>
    </r>
    <r>
      <rPr>
        <sz val="12"/>
        <color theme="1"/>
        <rFont val="Calibri"/>
        <family val="2"/>
        <scheme val="minor"/>
      </rPr>
      <t xml:space="preserve"> below</t>
    </r>
  </si>
  <si>
    <t>Subtotal of HTF-Assisted Unit Costs</t>
  </si>
  <si>
    <t>Actual Cost of HTF-Assisted Units</t>
  </si>
  <si>
    <t>Identify HOME Cost Allocation Method and Project Information</t>
  </si>
  <si>
    <t>Identify HTF Cost Allocation Method and Project Information</t>
  </si>
  <si>
    <t>Ineligible HTF Development Costs</t>
  </si>
  <si>
    <t>Eligible HTF Ratio</t>
  </si>
  <si>
    <t>Maximum HOME Project Subsidy</t>
  </si>
  <si>
    <t>Maximum HTF Project Subsidy</t>
  </si>
  <si>
    <t>Maximum HTF Investment, lessor of</t>
  </si>
  <si>
    <t>Proposed HTF Investment</t>
  </si>
  <si>
    <r>
      <t xml:space="preserve">Relocation Costs allocated exclusively to HTF-Assisted Units </t>
    </r>
    <r>
      <rPr>
        <sz val="8"/>
        <color theme="1"/>
        <rFont val="Calibri"/>
        <family val="2"/>
        <scheme val="minor"/>
      </rPr>
      <t>(if applicable)</t>
    </r>
  </si>
  <si>
    <t>Proration Method to Determine HTF-Assisted Units Required</t>
  </si>
  <si>
    <t># HTF-Assisted Units</t>
  </si>
  <si>
    <t>Required HTF-
Assisted Units</t>
  </si>
  <si>
    <t>HTF-Assisted 
Unit(s) Cost</t>
  </si>
  <si>
    <t>Maximum HTF Investment</t>
  </si>
  <si>
    <t># of HTF-Assisted Units Proposed</t>
  </si>
  <si>
    <t>HTF Share of 
Unit Type</t>
  </si>
  <si>
    <t>Proration Method to Determine Maximum HTF Investment</t>
  </si>
  <si>
    <t>HTF Share Ratio</t>
  </si>
  <si>
    <r>
      <t xml:space="preserve">Subtotal of HTF-Assisted Unit Costs </t>
    </r>
    <r>
      <rPr>
        <sz val="8"/>
        <color theme="1"/>
        <rFont val="Calibri"/>
        <family val="2"/>
        <scheme val="minor"/>
      </rPr>
      <t>(HOME Share Ratio x Eligible Project Costs)</t>
    </r>
  </si>
  <si>
    <t>Hybrid Method to Determine Maximum HTF Investment</t>
  </si>
  <si>
    <t>"Precise" HTF #</t>
  </si>
  <si>
    <t>HTF Units as % if Total Units</t>
  </si>
  <si>
    <t>Subtotal of HTF Unit Costs</t>
  </si>
  <si>
    <t>&gt;=60% &lt;=80% / &lt;=High-HOME</t>
  </si>
  <si>
    <t>Part II</t>
  </si>
  <si>
    <t>Department/State/Local Agency Name and Address</t>
  </si>
  <si>
    <t>Type of Assistance</t>
  </si>
  <si>
    <t>Amount Requested/Provided</t>
  </si>
  <si>
    <t>Expected Uses of the Funds</t>
  </si>
  <si>
    <t>Part III</t>
  </si>
  <si>
    <t>Type of Participation in Project/Activity</t>
  </si>
  <si>
    <t>/</t>
  </si>
  <si>
    <t>Financial Interest in Project/Activity ($ / %)</t>
  </si>
  <si>
    <t>Other Government Assistance Provided or Requested / Expected Source and Use of Funds - Continued</t>
  </si>
  <si>
    <r>
      <t>Interested Parties - Continued</t>
    </r>
    <r>
      <rPr>
        <sz val="11"/>
        <color theme="1"/>
        <rFont val="Calibri"/>
        <family val="2"/>
        <scheme val="minor"/>
      </rPr>
      <t xml:space="preserve"> </t>
    </r>
  </si>
  <si>
    <t>Average Income</t>
  </si>
  <si>
    <t>Note #</t>
  </si>
  <si>
    <t>HTF Funds Requested:</t>
  </si>
  <si>
    <t>HIF Funds Requested:</t>
  </si>
  <si>
    <t>Date SLR Submitted to HUD:</t>
  </si>
  <si>
    <t>Date SLR Notice Received:</t>
  </si>
  <si>
    <t>HTF-Assisted Unit Restrictions</t>
  </si>
  <si>
    <t>HTF Funds per HTF-Assisted Unit:</t>
  </si>
  <si>
    <t>HUD Form 2880</t>
  </si>
  <si>
    <t>Sex</t>
  </si>
  <si>
    <t>Male</t>
  </si>
  <si>
    <t>Female</t>
  </si>
  <si>
    <t>Gender Fluid</t>
  </si>
  <si>
    <t>Non-Binary</t>
  </si>
  <si>
    <t>Declined Answer</t>
  </si>
  <si>
    <t>If "Single"
Gender</t>
  </si>
  <si>
    <t>Disability in Household</t>
  </si>
  <si>
    <t>Site</t>
  </si>
  <si>
    <t>Acres</t>
  </si>
  <si>
    <t>ND Legislative District:</t>
  </si>
  <si>
    <t>DDA:</t>
  </si>
  <si>
    <t>Difficult Develop Area:</t>
  </si>
  <si>
    <t>Diffcult Develop Area:</t>
  </si>
  <si>
    <t>Sqft</t>
  </si>
  <si>
    <t>Commercial:</t>
  </si>
  <si>
    <t>Common Space:</t>
  </si>
  <si>
    <t>Non-LIHTC Units:</t>
  </si>
  <si>
    <t>LIHTC Building Level Detail</t>
  </si>
  <si>
    <t>IRS Minimum Set-Aside:</t>
  </si>
  <si>
    <t>TE Bond Set-Aside:</t>
  </si>
  <si>
    <t>Community Match Required:</t>
  </si>
  <si>
    <t>Community Match Provided:</t>
  </si>
  <si>
    <t>ARP QP</t>
  </si>
  <si>
    <t>HOME &amp; HTF Maximum
Per-Unit Subsidy</t>
  </si>
  <si>
    <t>PBV Types</t>
  </si>
  <si>
    <t>Rental Assistance Demonstration (RAD)</t>
  </si>
  <si>
    <t>Veterans Assistance &amp; Supportive Housing (VASH)</t>
  </si>
  <si>
    <t>Expense Coverage Ratio</t>
  </si>
  <si>
    <t>Below 10%</t>
  </si>
  <si>
    <t>Expense Coverage Ratio (EGI/OE)</t>
  </si>
  <si>
    <t>Total Operating Expenses Including Reserve Contributions (OE)</t>
  </si>
  <si>
    <t>Debt Service (DS)</t>
  </si>
  <si>
    <t>Net Operating Income (NOI)</t>
  </si>
  <si>
    <t>Section 8 (Regular)</t>
  </si>
  <si>
    <t>Coverage Ratio Options</t>
  </si>
  <si>
    <t>Expense Coverage Ratio (ECR)</t>
  </si>
  <si>
    <t>Debt-Coverage Ratio (DCR)</t>
  </si>
  <si>
    <t>PBV Type:</t>
  </si>
  <si>
    <t>Meets Cash Flow Criteria?</t>
  </si>
  <si>
    <t>LIHTC - Max Dev Fee</t>
  </si>
  <si>
    <t>as % of Basis:</t>
  </si>
  <si>
    <t>USDA Rural Development</t>
  </si>
  <si>
    <t>Developer / Related Pary Fees:</t>
  </si>
  <si>
    <t>Accessible Type A &amp; B:</t>
  </si>
  <si>
    <t>Owner Certification of Costs (Incurred Carryover Exhibit 01)</t>
  </si>
  <si>
    <t>Development Budget (Incurred Carryover Exhibit 02) &amp; (Final Cost Certification)</t>
  </si>
  <si>
    <t>Final Cost Certification</t>
  </si>
  <si>
    <t>Upward (+) or Downward (-) Adjuster:</t>
  </si>
  <si>
    <t>Project</t>
  </si>
  <si>
    <t>Building</t>
  </si>
  <si>
    <t>40 / Low-HOME</t>
  </si>
  <si>
    <t>BIN Prefix</t>
  </si>
  <si>
    <t>BIN #:</t>
  </si>
  <si>
    <t>Land:</t>
  </si>
  <si>
    <t>Building:</t>
  </si>
  <si>
    <t>Demolition:</t>
  </si>
  <si>
    <t>Acquisition Costs as % of TDC</t>
  </si>
  <si>
    <t>HTF Investment</t>
  </si>
  <si>
    <r>
      <t xml:space="preserve">Other Contributions: </t>
    </r>
    <r>
      <rPr>
        <sz val="10"/>
        <rFont val="Calibri"/>
        <family val="2"/>
        <scheme val="minor"/>
      </rPr>
      <t>List any investments or contributions to the project which are not a source of funds which directly offset Total Development Costs. Examples of Other Contributions include, but are not limited to, donated or subsidized infrastructure, tax incentives, or State/local FlexPACE.</t>
    </r>
  </si>
  <si>
    <t>List each entity/individual with a reportable financial interest in the project or activity (For individuals, list last name first)</t>
  </si>
  <si>
    <t>Sam.gov UEI</t>
  </si>
  <si>
    <t>Less all Perm Funding Sources:</t>
  </si>
  <si>
    <t>add back Deferred Dev Fee:</t>
  </si>
  <si>
    <t>Gap Calculation Allowance:</t>
  </si>
  <si>
    <t>Bond Issuance</t>
  </si>
  <si>
    <t>HOME Green Building Incentive</t>
  </si>
  <si>
    <t>Boost</t>
  </si>
  <si>
    <t>HOME Period of Affordability</t>
  </si>
  <si>
    <t>HOME Period of Affordability:</t>
  </si>
  <si>
    <t>HTF Period of Affordability:</t>
  </si>
  <si>
    <t>HTF Period of Affordability</t>
  </si>
  <si>
    <t>HIF Period of Affordability:</t>
  </si>
  <si>
    <t>Universal Design Units</t>
  </si>
  <si>
    <t>Low-Income Units:</t>
  </si>
  <si>
    <t>2+ BR Units:</t>
  </si>
  <si>
    <t>2025 Limits</t>
  </si>
  <si>
    <t>Applicable Limits:</t>
  </si>
  <si>
    <t>Max $ in Basis:</t>
  </si>
  <si>
    <t>$ Must be Deferred:</t>
  </si>
  <si>
    <t>Developer &amp; Contractor are Same or Related?</t>
  </si>
  <si>
    <t>LIHTC Max Developer Fee</t>
  </si>
  <si>
    <t>9% Related Entity</t>
  </si>
  <si>
    <t>4% Related Entity</t>
  </si>
  <si>
    <t>LIHTC Max non-Deferred DevFee</t>
  </si>
  <si>
    <t>Max $ non-Deferred:</t>
  </si>
  <si>
    <t>Max % non-Deferred:</t>
  </si>
  <si>
    <t>2026 Limits</t>
  </si>
  <si>
    <t>(optional) Less Developer Fees:</t>
  </si>
  <si>
    <t>Applicable Limits</t>
  </si>
  <si>
    <t>2024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</si>
</sst>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m\ dd\,\ yyyy;@"/>
    <numFmt numFmtId="165" formatCode="_(&quot;$&quot;* #,##0_);_(&quot;$&quot;* \(#,##0\);_(&quot;$&quot;* &quot;-&quot;??_);_(@_)"/>
    <numFmt numFmtId="166" formatCode="0000.00"/>
    <numFmt numFmtId="167" formatCode="00000"/>
    <numFmt numFmtId="168" formatCode="0.000%"/>
    <numFmt numFmtId="169" formatCode="mm\.dd\.yy"/>
    <numFmt numFmtId="170" formatCode="mm\.dd\.yyyy"/>
    <numFmt numFmtId="171" formatCode="[$-409]mmmm\ d\,\ yyyy;@"/>
    <numFmt numFmtId="172" formatCode="0.0%"/>
    <numFmt numFmtId="173" formatCode="_(&quot;$&quot;* #,##0_);[Red]_(&quot;$&quot;* \(#,##0\);_(&quot;$&quot;* &quot;-&quot;??_);_(@_)"/>
    <numFmt numFmtId="174" formatCode="&quot;$&quot;#,##0.000"/>
    <numFmt numFmtId="175" formatCode="_(&quot;$&quot;* #,##0.000_);_(&quot;$&quot;* \(#,##0.000\);_(&quot;$&quot;* &quot;-&quot;??_);_(@_)"/>
    <numFmt numFmtId="176" formatCode="&quot;$&quot;#,##0.000_);[Red]\(&quot;$&quot;#,##0.000\)"/>
    <numFmt numFmtId="177" formatCode="[&lt;=9999999]###\-####;\(###\)\ ###\-####"/>
    <numFmt numFmtId="178" formatCode="mmmm\ dd\,\ yyyy"/>
    <numFmt numFmtId="179" formatCode="&quot;$&quot;#,##0.00"/>
    <numFmt numFmtId="180" formatCode="&quot;$&quot;\ #,##0_);\(&quot;$&quot;\ #,##0\)"/>
    <numFmt numFmtId="181" formatCode="&quot;$&quot;\ #,##0.000_);\(&quot;$&quot;\ #,##0.000\)"/>
    <numFmt numFmtId="182" formatCode="0\ &quot;years&quot;"/>
    <numFmt numFmtId="183" formatCode="_(* #,##0_);_(* \(#,##0\);_(* &quot;-&quot;??_);_(@_)"/>
    <numFmt numFmtId="184" formatCode="0.000000"/>
    <numFmt numFmtId="185" formatCode="0.0000%"/>
    <numFmt numFmtId="186" formatCode="[$$-409]#,##0.00_);\([$$-409]#,##0.00\)"/>
  </numFmts>
  <fonts count="62" x14ac:knownFonts="1">
    <font>
      <sz val="11"/>
      <color theme="1"/>
      <name val="Calibri"/>
      <family val="2"/>
      <scheme val="minor"/>
    </font>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2"/>
      <color theme="1"/>
      <name val="Calibri"/>
      <family val="2"/>
      <scheme val="minor"/>
    </font>
    <font>
      <b/>
      <sz val="14"/>
      <color theme="1"/>
      <name val="Calibri"/>
      <family val="2"/>
      <scheme val="minor"/>
    </font>
    <font>
      <b/>
      <u/>
      <sz val="9"/>
      <color indexed="81"/>
      <name val="Tahoma"/>
      <family val="2"/>
    </font>
    <font>
      <u/>
      <sz val="11"/>
      <color theme="10"/>
      <name val="Calibri"/>
      <family val="2"/>
      <scheme val="minor"/>
    </font>
    <font>
      <sz val="11"/>
      <color rgb="FFFF0000"/>
      <name val="Calibri"/>
      <family val="2"/>
      <scheme val="minor"/>
    </font>
    <font>
      <sz val="10"/>
      <name val="Calibri"/>
      <family val="2"/>
      <scheme val="minor"/>
    </font>
    <font>
      <b/>
      <sz val="16.5"/>
      <name val="Calibri"/>
      <family val="2"/>
      <scheme val="minor"/>
    </font>
    <font>
      <b/>
      <sz val="16"/>
      <color theme="1"/>
      <name val="Calibri"/>
      <family val="2"/>
      <scheme val="minor"/>
    </font>
    <font>
      <sz val="12"/>
      <name val="Calibri"/>
      <family val="2"/>
      <scheme val="minor"/>
    </font>
    <font>
      <sz val="11"/>
      <name val="Calibri"/>
      <family val="2"/>
      <scheme val="minor"/>
    </font>
    <font>
      <i/>
      <sz val="8"/>
      <name val="Calibri"/>
      <family val="2"/>
      <scheme val="minor"/>
    </font>
    <font>
      <sz val="8"/>
      <name val="Calibri"/>
      <family val="2"/>
      <scheme val="minor"/>
    </font>
    <font>
      <b/>
      <i/>
      <sz val="14"/>
      <name val="Calibri"/>
      <family val="2"/>
      <scheme val="minor"/>
    </font>
    <font>
      <b/>
      <sz val="11"/>
      <name val="Calibri"/>
      <family val="2"/>
      <scheme val="minor"/>
    </font>
    <font>
      <b/>
      <sz val="10"/>
      <name val="Calibri"/>
      <family val="2"/>
      <scheme val="minor"/>
    </font>
    <font>
      <b/>
      <sz val="12"/>
      <name val="Calibri"/>
      <family val="2"/>
      <scheme val="minor"/>
    </font>
    <font>
      <b/>
      <i/>
      <sz val="10"/>
      <name val="Calibri"/>
      <family val="2"/>
      <scheme val="minor"/>
    </font>
    <font>
      <i/>
      <sz val="10"/>
      <name val="Calibri"/>
      <family val="2"/>
      <scheme val="minor"/>
    </font>
    <font>
      <b/>
      <sz val="14"/>
      <name val="Calibri"/>
      <family val="2"/>
      <scheme val="minor"/>
    </font>
    <font>
      <b/>
      <i/>
      <sz val="12"/>
      <name val="Calibri"/>
      <family val="2"/>
      <scheme val="minor"/>
    </font>
    <font>
      <b/>
      <u/>
      <sz val="11"/>
      <name val="Calibri"/>
      <family val="2"/>
      <scheme val="minor"/>
    </font>
    <font>
      <sz val="10"/>
      <color indexed="10"/>
      <name val="Calibri"/>
      <family val="2"/>
      <scheme val="minor"/>
    </font>
    <font>
      <b/>
      <sz val="16"/>
      <name val="Calibri"/>
      <family val="2"/>
      <scheme val="minor"/>
    </font>
    <font>
      <sz val="10"/>
      <color rgb="FFFF0000"/>
      <name val="Calibri"/>
      <family val="2"/>
      <scheme val="minor"/>
    </font>
    <font>
      <b/>
      <u/>
      <sz val="12"/>
      <name val="Calibri"/>
      <family val="2"/>
      <scheme val="minor"/>
    </font>
    <font>
      <b/>
      <sz val="18"/>
      <name val="Calibri"/>
      <family val="2"/>
      <scheme val="minor"/>
    </font>
    <font>
      <b/>
      <i/>
      <sz val="11"/>
      <name val="Calibri"/>
      <family val="2"/>
      <scheme val="minor"/>
    </font>
    <font>
      <b/>
      <sz val="10"/>
      <color theme="0"/>
      <name val="Calibri"/>
      <family val="2"/>
      <scheme val="minor"/>
    </font>
    <font>
      <sz val="11"/>
      <color indexed="10"/>
      <name val="Calibri"/>
      <family val="2"/>
      <scheme val="minor"/>
    </font>
    <font>
      <sz val="12"/>
      <color theme="1"/>
      <name val="Calibri"/>
      <family val="2"/>
      <scheme val="minor"/>
    </font>
    <font>
      <i/>
      <sz val="11"/>
      <name val="Calibri"/>
      <family val="2"/>
      <scheme val="minor"/>
    </font>
    <font>
      <b/>
      <u/>
      <sz val="11"/>
      <color rgb="FF0070C0"/>
      <name val="Calibri"/>
      <family val="2"/>
      <scheme val="minor"/>
    </font>
    <font>
      <b/>
      <sz val="11"/>
      <color rgb="FFFF0000"/>
      <name val="Calibri"/>
      <family val="2"/>
      <scheme val="minor"/>
    </font>
    <font>
      <b/>
      <i/>
      <sz val="11"/>
      <color theme="1"/>
      <name val="Calibri"/>
      <family val="2"/>
      <scheme val="minor"/>
    </font>
    <font>
      <sz val="8"/>
      <color theme="1"/>
      <name val="Calibri"/>
      <family val="2"/>
      <scheme val="minor"/>
    </font>
    <font>
      <b/>
      <i/>
      <sz val="12"/>
      <color theme="1"/>
      <name val="Calibri"/>
      <family val="2"/>
      <scheme val="minor"/>
    </font>
    <font>
      <b/>
      <sz val="9"/>
      <name val="Calibri"/>
      <family val="2"/>
      <scheme val="minor"/>
    </font>
    <font>
      <sz val="14"/>
      <name val="Calibri"/>
      <family val="2"/>
      <scheme val="minor"/>
    </font>
    <font>
      <b/>
      <u/>
      <sz val="8"/>
      <name val="Calibri"/>
      <family val="2"/>
      <scheme val="minor"/>
    </font>
    <font>
      <b/>
      <sz val="8"/>
      <name val="Calibri"/>
      <family val="2"/>
      <scheme val="minor"/>
    </font>
    <font>
      <u/>
      <sz val="9"/>
      <color indexed="81"/>
      <name val="Tahoma"/>
      <family val="2"/>
    </font>
    <font>
      <sz val="11"/>
      <color theme="0"/>
      <name val="Calibri"/>
      <family val="2"/>
      <scheme val="minor"/>
    </font>
    <font>
      <sz val="10"/>
      <color theme="0"/>
      <name val="Calibri"/>
      <family val="2"/>
      <scheme val="minor"/>
    </font>
    <font>
      <sz val="12"/>
      <color theme="0"/>
      <name val="Calibri"/>
      <family val="2"/>
      <scheme val="minor"/>
    </font>
    <font>
      <b/>
      <u/>
      <sz val="11"/>
      <color theme="10"/>
      <name val="Calibri"/>
      <family val="2"/>
      <scheme val="minor"/>
    </font>
    <font>
      <sz val="16"/>
      <color theme="1"/>
      <name val="Calibri"/>
      <family val="2"/>
      <scheme val="minor"/>
    </font>
    <font>
      <u/>
      <sz val="11"/>
      <color theme="1"/>
      <name val="Calibri"/>
      <family val="2"/>
      <scheme val="minor"/>
    </font>
    <font>
      <sz val="11"/>
      <color theme="1"/>
      <name val="Calibri"/>
      <family val="1"/>
      <scheme val="minor"/>
    </font>
    <font>
      <sz val="11"/>
      <color theme="1"/>
      <name val="Times New Roman"/>
      <family val="1"/>
    </font>
    <font>
      <b/>
      <u/>
      <sz val="11"/>
      <color theme="1"/>
      <name val="Calibri"/>
      <family val="2"/>
      <scheme val="minor"/>
    </font>
    <font>
      <b/>
      <sz val="10"/>
      <color indexed="81"/>
      <name val="Tahoma"/>
      <family val="2"/>
    </font>
    <font>
      <sz val="10"/>
      <color indexed="81"/>
      <name val="Tahoma"/>
      <family val="2"/>
    </font>
    <font>
      <b/>
      <u/>
      <sz val="12"/>
      <color theme="1"/>
      <name val="Calibri"/>
      <family val="2"/>
      <scheme val="minor"/>
    </font>
    <font>
      <b/>
      <sz val="13.5"/>
      <color theme="1"/>
      <name val="Calibri"/>
      <family val="2"/>
      <scheme val="minor"/>
    </font>
    <font>
      <b/>
      <sz val="18"/>
      <color theme="1"/>
      <name val="Calibri"/>
      <family val="2"/>
      <scheme val="minor"/>
    </font>
    <font>
      <i/>
      <sz val="11"/>
      <color theme="1"/>
      <name val="Calibri"/>
      <family val="2"/>
      <scheme val="minor"/>
    </font>
    <font>
      <sz val="10"/>
      <color theme="1"/>
      <name val="Calibri"/>
      <family val="2"/>
      <scheme val="minor"/>
    </font>
  </fonts>
  <fills count="16">
    <fill>
      <patternFill patternType="none"/>
    </fill>
    <fill>
      <patternFill patternType="gray125"/>
    </fill>
    <fill>
      <patternFill patternType="solid">
        <fgColor rgb="FFCCFFCC"/>
        <bgColor indexed="64"/>
      </patternFill>
    </fill>
    <fill>
      <patternFill patternType="solid">
        <fgColor indexed="42"/>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FFC00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indexed="43"/>
        <bgColor indexed="64"/>
      </patternFill>
    </fill>
    <fill>
      <patternFill patternType="solid">
        <fgColor indexed="22"/>
        <bgColor indexed="64"/>
      </patternFill>
    </fill>
    <fill>
      <patternFill patternType="solid">
        <fgColor rgb="FFFFFF00"/>
        <bgColor indexed="64"/>
      </patternFill>
    </fill>
    <fill>
      <patternFill patternType="solid">
        <fgColor theme="0" tint="-0.49998474074526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34998626667073579"/>
        <bgColor indexed="64"/>
      </patternFill>
    </fill>
  </fills>
  <borders count="7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medium">
        <color indexed="64"/>
      </top>
      <bottom style="thin">
        <color indexed="64"/>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auto="1"/>
      </bottom>
      <diagonal/>
    </border>
    <border>
      <left style="thin">
        <color indexed="64"/>
      </left>
      <right/>
      <top style="thin">
        <color auto="1"/>
      </top>
      <bottom style="medium">
        <color indexed="64"/>
      </bottom>
      <diagonal/>
    </border>
    <border>
      <left/>
      <right style="medium">
        <color indexed="64"/>
      </right>
      <top style="thin">
        <color auto="1"/>
      </top>
      <bottom style="medium">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auto="1"/>
      </left>
      <right style="medium">
        <color auto="1"/>
      </right>
      <top/>
      <bottom style="thin">
        <color auto="1"/>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 fillId="0" borderId="0" applyFont="0" applyFill="0" applyBorder="0" applyAlignment="0" applyProtection="0"/>
  </cellStyleXfs>
  <cellXfs count="1229">
    <xf numFmtId="0" fontId="0" fillId="0" borderId="0" xfId="0"/>
    <xf numFmtId="42" fontId="0" fillId="3" borderId="5" xfId="1" applyNumberFormat="1" applyFont="1" applyFill="1" applyBorder="1" applyProtection="1">
      <protection locked="0"/>
    </xf>
    <xf numFmtId="42" fontId="0" fillId="0" borderId="0" xfId="1" applyNumberFormat="1" applyFont="1" applyFill="1" applyBorder="1" applyProtection="1"/>
    <xf numFmtId="165" fontId="0" fillId="3" borderId="14" xfId="1" applyNumberFormat="1" applyFont="1" applyFill="1" applyBorder="1" applyProtection="1">
      <protection locked="0"/>
    </xf>
    <xf numFmtId="165" fontId="0" fillId="0" borderId="14" xfId="1" applyNumberFormat="1" applyFont="1" applyBorder="1" applyProtection="1"/>
    <xf numFmtId="165" fontId="0" fillId="0" borderId="45" xfId="1" applyNumberFormat="1" applyFont="1" applyBorder="1" applyProtection="1"/>
    <xf numFmtId="165" fontId="0" fillId="0" borderId="0" xfId="1" applyNumberFormat="1" applyFont="1" applyProtection="1"/>
    <xf numFmtId="10" fontId="0" fillId="0" borderId="14" xfId="2" applyNumberFormat="1" applyFont="1" applyFill="1" applyBorder="1" applyProtection="1"/>
    <xf numFmtId="165" fontId="0" fillId="3" borderId="5" xfId="1" applyNumberFormat="1" applyFont="1" applyFill="1" applyBorder="1" applyProtection="1">
      <protection locked="0"/>
    </xf>
    <xf numFmtId="165" fontId="0" fillId="3" borderId="13" xfId="1" applyNumberFormat="1" applyFont="1" applyFill="1" applyBorder="1" applyProtection="1">
      <protection locked="0"/>
    </xf>
    <xf numFmtId="165" fontId="0" fillId="2" borderId="14" xfId="1" applyNumberFormat="1" applyFont="1" applyFill="1" applyBorder="1" applyProtection="1">
      <protection locked="0"/>
    </xf>
    <xf numFmtId="10" fontId="0" fillId="0" borderId="14" xfId="2" applyNumberFormat="1" applyFont="1" applyFill="1" applyBorder="1" applyAlignment="1" applyProtection="1">
      <alignment horizontal="center"/>
    </xf>
    <xf numFmtId="165" fontId="0" fillId="10" borderId="0" xfId="1" applyNumberFormat="1" applyFont="1" applyFill="1" applyProtection="1"/>
    <xf numFmtId="165" fontId="0" fillId="0" borderId="0" xfId="1" applyNumberFormat="1" applyFont="1" applyFill="1" applyProtection="1"/>
    <xf numFmtId="165" fontId="0" fillId="0" borderId="14" xfId="1" applyNumberFormat="1" applyFont="1" applyFill="1" applyBorder="1" applyProtection="1"/>
    <xf numFmtId="10" fontId="0" fillId="0" borderId="0" xfId="2" applyNumberFormat="1" applyFont="1" applyFill="1" applyBorder="1" applyProtection="1"/>
    <xf numFmtId="9" fontId="0" fillId="0" borderId="0" xfId="2" applyFont="1" applyFill="1" applyBorder="1" applyProtection="1"/>
    <xf numFmtId="10" fontId="0" fillId="0" borderId="5" xfId="2" applyNumberFormat="1" applyFont="1" applyFill="1" applyBorder="1" applyAlignment="1" applyProtection="1">
      <alignment horizontal="center"/>
    </xf>
    <xf numFmtId="165" fontId="0" fillId="0" borderId="0" xfId="1" applyNumberFormat="1" applyFont="1" applyFill="1" applyBorder="1" applyProtection="1"/>
    <xf numFmtId="10" fontId="0" fillId="12" borderId="14" xfId="2" applyNumberFormat="1" applyFont="1" applyFill="1" applyBorder="1" applyProtection="1"/>
    <xf numFmtId="9" fontId="0" fillId="0" borderId="0" xfId="2" applyFont="1" applyProtection="1"/>
    <xf numFmtId="165" fontId="21" fillId="0" borderId="14" xfId="1" applyNumberFormat="1" applyFont="1" applyFill="1" applyBorder="1" applyProtection="1"/>
    <xf numFmtId="165" fontId="13" fillId="0" borderId="14" xfId="1" applyNumberFormat="1" applyFont="1" applyFill="1" applyBorder="1" applyProtection="1"/>
    <xf numFmtId="173" fontId="0" fillId="2" borderId="14" xfId="0" applyNumberFormat="1" applyFill="1" applyBorder="1" applyProtection="1">
      <protection locked="0"/>
    </xf>
    <xf numFmtId="165" fontId="19" fillId="0" borderId="14" xfId="1" applyNumberFormat="1" applyFont="1" applyFill="1" applyBorder="1" applyProtection="1"/>
    <xf numFmtId="168" fontId="0" fillId="2" borderId="14" xfId="0" applyNumberFormat="1" applyFill="1" applyBorder="1" applyAlignment="1" applyProtection="1">
      <alignment horizontal="center"/>
      <protection locked="0"/>
    </xf>
    <xf numFmtId="10" fontId="0" fillId="2" borderId="14" xfId="0" applyNumberFormat="1" applyFill="1" applyBorder="1" applyAlignment="1" applyProtection="1">
      <alignment horizontal="center"/>
      <protection locked="0"/>
    </xf>
    <xf numFmtId="173" fontId="0" fillId="2" borderId="14" xfId="0" applyNumberFormat="1" applyFill="1" applyBorder="1" applyAlignment="1" applyProtection="1">
      <alignment horizontal="center"/>
      <protection locked="0"/>
    </xf>
    <xf numFmtId="9" fontId="0" fillId="2" borderId="14" xfId="0" applyNumberFormat="1" applyFill="1" applyBorder="1" applyAlignment="1" applyProtection="1">
      <alignment horizontal="center"/>
      <protection locked="0"/>
    </xf>
    <xf numFmtId="0" fontId="0" fillId="2" borderId="14" xfId="0" applyFill="1" applyBorder="1" applyAlignment="1" applyProtection="1">
      <alignment horizontal="center"/>
      <protection locked="0"/>
    </xf>
    <xf numFmtId="0" fontId="0" fillId="3" borderId="14" xfId="0" applyFill="1" applyBorder="1" applyAlignment="1" applyProtection="1">
      <alignment horizontal="center"/>
      <protection locked="0"/>
    </xf>
    <xf numFmtId="165" fontId="21" fillId="0" borderId="14" xfId="1" applyNumberFormat="1" applyFont="1" applyBorder="1" applyProtection="1"/>
    <xf numFmtId="165" fontId="21" fillId="0" borderId="0" xfId="1" applyNumberFormat="1" applyFont="1" applyBorder="1" applyProtection="1"/>
    <xf numFmtId="165" fontId="24" fillId="0" borderId="3" xfId="1" applyNumberFormat="1" applyFont="1" applyBorder="1" applyProtection="1"/>
    <xf numFmtId="165" fontId="24" fillId="0" borderId="46" xfId="1" applyNumberFormat="1" applyFont="1" applyBorder="1" applyProtection="1"/>
    <xf numFmtId="37" fontId="0" fillId="2" borderId="14" xfId="0" applyNumberFormat="1" applyFill="1" applyBorder="1" applyAlignment="1" applyProtection="1">
      <alignment horizontal="center"/>
      <protection locked="0"/>
    </xf>
    <xf numFmtId="42" fontId="21" fillId="0" borderId="7" xfId="1" applyNumberFormat="1" applyFont="1" applyFill="1" applyBorder="1" applyProtection="1"/>
    <xf numFmtId="165" fontId="21" fillId="0" borderId="15" xfId="1" applyNumberFormat="1" applyFont="1" applyBorder="1" applyProtection="1"/>
    <xf numFmtId="165" fontId="19" fillId="0" borderId="0" xfId="1" applyNumberFormat="1" applyFont="1" applyProtection="1"/>
    <xf numFmtId="165" fontId="19" fillId="0" borderId="0" xfId="1" applyNumberFormat="1" applyFont="1" applyAlignment="1" applyProtection="1">
      <alignment horizontal="center"/>
    </xf>
    <xf numFmtId="165" fontId="19" fillId="0" borderId="0" xfId="1" applyNumberFormat="1" applyFont="1" applyFill="1" applyBorder="1" applyAlignment="1" applyProtection="1">
      <alignment horizontal="center"/>
    </xf>
    <xf numFmtId="165" fontId="10" fillId="0" borderId="14" xfId="1" applyNumberFormat="1" applyFont="1" applyFill="1" applyBorder="1" applyProtection="1"/>
    <xf numFmtId="165" fontId="10" fillId="0" borderId="0" xfId="1" applyNumberFormat="1" applyFont="1" applyFill="1" applyBorder="1" applyProtection="1"/>
    <xf numFmtId="165" fontId="16" fillId="0" borderId="0" xfId="1" applyNumberFormat="1" applyFont="1" applyFill="1" applyBorder="1" applyProtection="1"/>
    <xf numFmtId="165" fontId="21" fillId="0" borderId="0" xfId="1" applyNumberFormat="1" applyFont="1" applyFill="1" applyBorder="1" applyProtection="1"/>
    <xf numFmtId="165" fontId="21" fillId="0" borderId="5" xfId="1" applyNumberFormat="1" applyFont="1" applyBorder="1" applyProtection="1"/>
    <xf numFmtId="42" fontId="17" fillId="0" borderId="14" xfId="1" applyNumberFormat="1" applyFont="1" applyBorder="1" applyProtection="1"/>
    <xf numFmtId="42" fontId="17" fillId="0" borderId="0" xfId="1" applyNumberFormat="1" applyFont="1" applyFill="1" applyBorder="1" applyProtection="1"/>
    <xf numFmtId="165" fontId="17" fillId="0" borderId="0" xfId="1" applyNumberFormat="1" applyFont="1" applyFill="1" applyBorder="1" applyProtection="1"/>
    <xf numFmtId="42" fontId="21" fillId="0" borderId="0" xfId="1" applyNumberFormat="1" applyFont="1" applyFill="1" applyBorder="1" applyProtection="1"/>
    <xf numFmtId="0" fontId="0" fillId="2" borderId="36" xfId="0" applyFill="1" applyBorder="1" applyAlignment="1" applyProtection="1">
      <alignment horizontal="center"/>
      <protection locked="0"/>
    </xf>
    <xf numFmtId="10" fontId="14" fillId="0" borderId="5" xfId="2" applyNumberFormat="1" applyFont="1" applyBorder="1" applyAlignment="1" applyProtection="1">
      <alignment horizontal="center"/>
    </xf>
    <xf numFmtId="165" fontId="14" fillId="12" borderId="14" xfId="1" applyNumberFormat="1" applyFont="1" applyFill="1" applyBorder="1" applyProtection="1"/>
    <xf numFmtId="165" fontId="14" fillId="0" borderId="0" xfId="1" applyNumberFormat="1" applyFont="1" applyFill="1" applyBorder="1" applyProtection="1"/>
    <xf numFmtId="10" fontId="32" fillId="0" borderId="0" xfId="1" applyNumberFormat="1" applyFont="1" applyAlignment="1" applyProtection="1">
      <alignment horizontal="center"/>
    </xf>
    <xf numFmtId="0" fontId="14" fillId="0" borderId="4" xfId="0" applyFont="1" applyBorder="1"/>
    <xf numFmtId="1" fontId="14" fillId="0" borderId="14" xfId="0" applyNumberFormat="1" applyFont="1" applyBorder="1" applyAlignment="1">
      <alignment horizontal="center"/>
    </xf>
    <xf numFmtId="0" fontId="14" fillId="3" borderId="4" xfId="0" applyFont="1" applyFill="1" applyBorder="1" applyProtection="1">
      <protection locked="0"/>
    </xf>
    <xf numFmtId="1" fontId="14" fillId="3" borderId="14" xfId="0" applyNumberFormat="1" applyFont="1" applyFill="1" applyBorder="1" applyAlignment="1" applyProtection="1">
      <alignment horizontal="center"/>
      <protection locked="0"/>
    </xf>
    <xf numFmtId="168" fontId="14" fillId="3" borderId="14" xfId="0" applyNumberFormat="1" applyFont="1" applyFill="1" applyBorder="1" applyAlignment="1" applyProtection="1">
      <alignment horizontal="center"/>
      <protection locked="0"/>
    </xf>
    <xf numFmtId="42" fontId="31" fillId="0" borderId="5" xfId="1" applyNumberFormat="1" applyFont="1" applyFill="1" applyBorder="1" applyProtection="1"/>
    <xf numFmtId="42" fontId="31" fillId="0" borderId="12" xfId="1" applyNumberFormat="1" applyFont="1" applyFill="1" applyBorder="1" applyProtection="1"/>
    <xf numFmtId="165" fontId="31" fillId="0" borderId="14" xfId="1" applyNumberFormat="1" applyFont="1" applyBorder="1" applyProtection="1"/>
    <xf numFmtId="165" fontId="35" fillId="0" borderId="14" xfId="1" applyNumberFormat="1" applyFont="1" applyBorder="1" applyAlignment="1" applyProtection="1">
      <alignment horizontal="center"/>
    </xf>
    <xf numFmtId="165" fontId="31" fillId="0" borderId="30" xfId="1" applyNumberFormat="1" applyFont="1" applyBorder="1" applyProtection="1"/>
    <xf numFmtId="165" fontId="14" fillId="0" borderId="28" xfId="1" applyNumberFormat="1" applyFont="1" applyBorder="1" applyProtection="1"/>
    <xf numFmtId="165" fontId="14" fillId="3" borderId="26" xfId="1" applyNumberFormat="1" applyFont="1" applyFill="1" applyBorder="1" applyProtection="1">
      <protection locked="0"/>
    </xf>
    <xf numFmtId="165" fontId="14" fillId="0" borderId="45" xfId="1" applyNumberFormat="1" applyFont="1" applyFill="1" applyBorder="1" applyProtection="1"/>
    <xf numFmtId="165" fontId="14" fillId="3" borderId="29" xfId="1" applyNumberFormat="1" applyFont="1" applyFill="1" applyBorder="1" applyProtection="1">
      <protection locked="0"/>
    </xf>
    <xf numFmtId="165" fontId="14" fillId="0" borderId="9" xfId="1" applyNumberFormat="1" applyFont="1" applyFill="1" applyBorder="1" applyProtection="1"/>
    <xf numFmtId="165" fontId="31" fillId="0" borderId="45" xfId="1" applyNumberFormat="1" applyFont="1" applyFill="1" applyBorder="1" applyProtection="1"/>
    <xf numFmtId="166" fontId="18" fillId="2" borderId="16" xfId="0" applyNumberFormat="1" applyFont="1" applyFill="1" applyBorder="1" applyAlignment="1" applyProtection="1">
      <alignment horizontal="center"/>
      <protection locked="0"/>
    </xf>
    <xf numFmtId="0" fontId="18" fillId="2" borderId="13" xfId="0" applyFont="1" applyFill="1" applyBorder="1" applyAlignment="1" applyProtection="1">
      <alignment horizontal="center"/>
      <protection locked="0"/>
    </xf>
    <xf numFmtId="0" fontId="14" fillId="2" borderId="36" xfId="0" applyFont="1" applyFill="1" applyBorder="1" applyAlignment="1" applyProtection="1">
      <alignment horizontal="center"/>
      <protection locked="0"/>
    </xf>
    <xf numFmtId="3" fontId="14" fillId="2" borderId="14" xfId="0" applyNumberFormat="1" applyFont="1" applyFill="1" applyBorder="1" applyAlignment="1" applyProtection="1">
      <alignment horizontal="center"/>
      <protection locked="0"/>
    </xf>
    <xf numFmtId="165" fontId="31" fillId="0" borderId="0" xfId="1" applyNumberFormat="1" applyFont="1" applyBorder="1" applyProtection="1"/>
    <xf numFmtId="172" fontId="0" fillId="0" borderId="23" xfId="2" applyNumberFormat="1" applyFont="1" applyBorder="1" applyAlignment="1" applyProtection="1">
      <alignment horizontal="center"/>
    </xf>
    <xf numFmtId="172" fontId="0" fillId="0" borderId="20" xfId="2" applyNumberFormat="1" applyFont="1" applyBorder="1" applyAlignment="1" applyProtection="1">
      <alignment horizontal="center"/>
    </xf>
    <xf numFmtId="165" fontId="0" fillId="0" borderId="5" xfId="1" applyNumberFormat="1" applyFont="1" applyFill="1" applyBorder="1" applyProtection="1"/>
    <xf numFmtId="165" fontId="0" fillId="0" borderId="24" xfId="1" applyNumberFormat="1" applyFont="1" applyFill="1" applyBorder="1" applyProtection="1"/>
    <xf numFmtId="10" fontId="2" fillId="11" borderId="34" xfId="2" applyNumberFormat="1" applyFont="1" applyFill="1" applyBorder="1" applyAlignment="1" applyProtection="1">
      <alignment horizontal="center"/>
    </xf>
    <xf numFmtId="10" fontId="2" fillId="11" borderId="14" xfId="2" applyNumberFormat="1" applyFont="1" applyFill="1" applyBorder="1" applyAlignment="1" applyProtection="1">
      <alignment horizontal="center"/>
    </xf>
    <xf numFmtId="174" fontId="2" fillId="11" borderId="14" xfId="1" applyNumberFormat="1" applyFont="1" applyFill="1" applyBorder="1" applyAlignment="1" applyProtection="1">
      <alignment horizontal="center"/>
    </xf>
    <xf numFmtId="175" fontId="31" fillId="0" borderId="10" xfId="1" applyNumberFormat="1" applyFont="1" applyFill="1" applyBorder="1" applyProtection="1"/>
    <xf numFmtId="165" fontId="0" fillId="0" borderId="10" xfId="1" applyNumberFormat="1" applyFont="1" applyFill="1" applyBorder="1" applyProtection="1"/>
    <xf numFmtId="10" fontId="38" fillId="0" borderId="10" xfId="2" applyNumberFormat="1" applyFont="1" applyFill="1" applyBorder="1" applyAlignment="1" applyProtection="1">
      <alignment horizontal="center"/>
    </xf>
    <xf numFmtId="0" fontId="14" fillId="2" borderId="14" xfId="0" applyFont="1" applyFill="1" applyBorder="1" applyAlignment="1" applyProtection="1">
      <alignment horizontal="left"/>
      <protection locked="0"/>
    </xf>
    <xf numFmtId="165" fontId="14" fillId="0" borderId="7" xfId="1" applyNumberFormat="1" applyFont="1" applyFill="1" applyBorder="1" applyProtection="1"/>
    <xf numFmtId="0" fontId="14" fillId="2" borderId="14" xfId="0" applyFont="1" applyFill="1" applyBorder="1" applyAlignment="1" applyProtection="1">
      <alignment horizontal="center"/>
      <protection locked="0"/>
    </xf>
    <xf numFmtId="1" fontId="0" fillId="2" borderId="14" xfId="0" applyNumberFormat="1" applyFill="1" applyBorder="1" applyAlignment="1" applyProtection="1">
      <alignment horizontal="center"/>
      <protection locked="0"/>
    </xf>
    <xf numFmtId="167" fontId="18" fillId="2" borderId="16" xfId="0" applyNumberFormat="1" applyFont="1" applyFill="1" applyBorder="1" applyAlignment="1" applyProtection="1">
      <alignment horizontal="center"/>
      <protection locked="0"/>
    </xf>
    <xf numFmtId="42" fontId="0" fillId="0" borderId="5" xfId="1" applyNumberFormat="1" applyFont="1" applyFill="1" applyBorder="1" applyProtection="1"/>
    <xf numFmtId="42" fontId="31" fillId="0" borderId="0" xfId="1" applyNumberFormat="1" applyFont="1" applyFill="1" applyBorder="1" applyProtection="1"/>
    <xf numFmtId="42" fontId="0" fillId="0" borderId="24" xfId="1" applyNumberFormat="1" applyFont="1" applyFill="1" applyBorder="1" applyProtection="1"/>
    <xf numFmtId="165" fontId="26" fillId="0" borderId="0" xfId="1" applyNumberFormat="1" applyFont="1" applyFill="1" applyBorder="1" applyProtection="1"/>
    <xf numFmtId="165" fontId="19" fillId="0" borderId="0" xfId="1" applyNumberFormat="1" applyFont="1" applyFill="1" applyBorder="1" applyProtection="1"/>
    <xf numFmtId="42" fontId="0" fillId="0" borderId="14" xfId="1" applyNumberFormat="1" applyFont="1" applyFill="1" applyBorder="1" applyProtection="1"/>
    <xf numFmtId="42" fontId="14" fillId="2" borderId="14" xfId="0" applyNumberFormat="1" applyFont="1" applyFill="1" applyBorder="1" applyAlignment="1" applyProtection="1">
      <alignment horizontal="center"/>
      <protection locked="0"/>
    </xf>
    <xf numFmtId="42" fontId="14" fillId="0" borderId="14" xfId="0" applyNumberFormat="1" applyFont="1" applyBorder="1" applyAlignment="1">
      <alignment horizontal="center"/>
    </xf>
    <xf numFmtId="42" fontId="31" fillId="0" borderId="15" xfId="1" applyNumberFormat="1" applyFont="1" applyFill="1" applyBorder="1" applyProtection="1"/>
    <xf numFmtId="42" fontId="38" fillId="0" borderId="14" xfId="0" applyNumberFormat="1" applyFont="1" applyBorder="1"/>
    <xf numFmtId="0" fontId="14" fillId="0" borderId="4" xfId="0" applyFont="1" applyBorder="1" applyAlignment="1">
      <alignment horizontal="right"/>
    </xf>
    <xf numFmtId="42" fontId="31" fillId="0" borderId="14" xfId="0" applyNumberFormat="1" applyFont="1" applyBorder="1"/>
    <xf numFmtId="42" fontId="17" fillId="0" borderId="14" xfId="0" applyNumberFormat="1" applyFont="1" applyBorder="1"/>
    <xf numFmtId="42" fontId="0" fillId="12" borderId="14" xfId="1" applyNumberFormat="1" applyFont="1" applyFill="1" applyBorder="1" applyProtection="1"/>
    <xf numFmtId="42" fontId="14" fillId="12" borderId="14" xfId="0" applyNumberFormat="1" applyFont="1" applyFill="1" applyBorder="1" applyAlignment="1">
      <alignment horizontal="center"/>
    </xf>
    <xf numFmtId="42" fontId="0" fillId="12" borderId="5" xfId="1" applyNumberFormat="1" applyFont="1" applyFill="1" applyBorder="1" applyProtection="1"/>
    <xf numFmtId="0" fontId="18" fillId="0" borderId="0" xfId="0" applyFont="1" applyAlignment="1">
      <alignment horizontal="center"/>
    </xf>
    <xf numFmtId="0" fontId="18" fillId="0" borderId="0" xfId="0" applyFont="1"/>
    <xf numFmtId="0" fontId="18" fillId="0" borderId="0" xfId="0" applyFont="1" applyAlignment="1">
      <alignment horizontal="right"/>
    </xf>
    <xf numFmtId="3" fontId="2" fillId="0" borderId="0" xfId="0" applyNumberFormat="1" applyFont="1" applyAlignment="1">
      <alignment horizontal="center"/>
    </xf>
    <xf numFmtId="3" fontId="2" fillId="0" borderId="0" xfId="0" applyNumberFormat="1" applyFont="1" applyAlignment="1">
      <alignment horizontal="right"/>
    </xf>
    <xf numFmtId="3" fontId="0" fillId="0" borderId="0" xfId="0" applyNumberFormat="1" applyAlignment="1">
      <alignment horizontal="center"/>
    </xf>
    <xf numFmtId="3" fontId="0" fillId="0" borderId="0" xfId="0" applyNumberFormat="1" applyAlignment="1">
      <alignment horizontal="right"/>
    </xf>
    <xf numFmtId="181" fontId="14" fillId="2" borderId="35" xfId="0" applyNumberFormat="1" applyFont="1" applyFill="1" applyBorder="1" applyAlignment="1" applyProtection="1">
      <alignment horizontal="center"/>
      <protection locked="0"/>
    </xf>
    <xf numFmtId="0" fontId="14" fillId="2" borderId="27" xfId="0" applyFont="1" applyFill="1" applyBorder="1" applyAlignment="1" applyProtection="1">
      <alignment horizontal="center"/>
      <protection locked="0"/>
    </xf>
    <xf numFmtId="0" fontId="14" fillId="0" borderId="33" xfId="0" applyFont="1" applyBorder="1" applyAlignment="1">
      <alignment horizontal="center"/>
    </xf>
    <xf numFmtId="0" fontId="14" fillId="0" borderId="41" xfId="0" applyFont="1" applyBorder="1" applyAlignment="1">
      <alignment horizontal="center"/>
    </xf>
    <xf numFmtId="0" fontId="14" fillId="0" borderId="35" xfId="0" applyFont="1" applyBorder="1" applyAlignment="1">
      <alignment horizontal="center"/>
    </xf>
    <xf numFmtId="9" fontId="0" fillId="0" borderId="14" xfId="0" applyNumberFormat="1" applyBorder="1" applyAlignment="1">
      <alignment horizontal="center"/>
    </xf>
    <xf numFmtId="9" fontId="0" fillId="0" borderId="27" xfId="0" applyNumberFormat="1" applyBorder="1" applyAlignment="1">
      <alignment horizontal="center"/>
    </xf>
    <xf numFmtId="10" fontId="0" fillId="0" borderId="14" xfId="0" applyNumberFormat="1" applyBorder="1" applyAlignment="1">
      <alignment horizontal="center"/>
    </xf>
    <xf numFmtId="44" fontId="0" fillId="0" borderId="14" xfId="0" applyNumberFormat="1" applyBorder="1" applyAlignment="1">
      <alignment horizontal="center"/>
    </xf>
    <xf numFmtId="44" fontId="0" fillId="0" borderId="27" xfId="0" applyNumberFormat="1" applyBorder="1" applyAlignment="1">
      <alignment horizontal="center"/>
    </xf>
    <xf numFmtId="0" fontId="18" fillId="0" borderId="19" xfId="0" applyFont="1" applyBorder="1" applyAlignment="1">
      <alignment horizontal="right"/>
    </xf>
    <xf numFmtId="1" fontId="0" fillId="0" borderId="14" xfId="0" applyNumberFormat="1" applyBorder="1" applyAlignment="1">
      <alignment horizontal="center"/>
    </xf>
    <xf numFmtId="0" fontId="14" fillId="0" borderId="0" xfId="0" applyFont="1"/>
    <xf numFmtId="44" fontId="0" fillId="0" borderId="0" xfId="0" applyNumberFormat="1"/>
    <xf numFmtId="44" fontId="14" fillId="0" borderId="0" xfId="0" applyNumberFormat="1" applyFont="1"/>
    <xf numFmtId="44" fontId="0" fillId="2" borderId="14" xfId="0" applyNumberFormat="1" applyFill="1" applyBorder="1" applyAlignment="1" applyProtection="1">
      <alignment horizontal="center"/>
      <protection locked="0"/>
    </xf>
    <xf numFmtId="44" fontId="0" fillId="2" borderId="27" xfId="0" applyNumberFormat="1" applyFill="1" applyBorder="1" applyAlignment="1" applyProtection="1">
      <alignment horizontal="center"/>
      <protection locked="0"/>
    </xf>
    <xf numFmtId="44" fontId="0" fillId="12" borderId="27" xfId="0" applyNumberFormat="1" applyFill="1" applyBorder="1" applyAlignment="1">
      <alignment horizontal="center"/>
    </xf>
    <xf numFmtId="10" fontId="0" fillId="0" borderId="27" xfId="0" applyNumberFormat="1" applyBorder="1" applyAlignment="1">
      <alignment horizontal="center"/>
    </xf>
    <xf numFmtId="10" fontId="14" fillId="0" borderId="30" xfId="0" applyNumberFormat="1" applyFont="1" applyBorder="1" applyAlignment="1">
      <alignment horizontal="center"/>
    </xf>
    <xf numFmtId="10" fontId="14" fillId="0" borderId="38" xfId="0" applyNumberFormat="1" applyFont="1" applyBorder="1" applyAlignment="1">
      <alignment horizontal="center"/>
    </xf>
    <xf numFmtId="0" fontId="14" fillId="0" borderId="36" xfId="0" applyFont="1" applyBorder="1" applyAlignment="1">
      <alignment horizontal="center"/>
    </xf>
    <xf numFmtId="41" fontId="0" fillId="2" borderId="14" xfId="0" applyNumberFormat="1" applyFill="1" applyBorder="1" applyProtection="1">
      <protection locked="0"/>
    </xf>
    <xf numFmtId="165" fontId="0" fillId="0" borderId="12" xfId="1" applyNumberFormat="1" applyFont="1" applyFill="1" applyBorder="1" applyProtection="1"/>
    <xf numFmtId="165" fontId="0" fillId="0" borderId="9" xfId="1" applyNumberFormat="1" applyFont="1" applyFill="1" applyBorder="1" applyProtection="1"/>
    <xf numFmtId="165" fontId="0" fillId="0" borderId="15" xfId="1" applyNumberFormat="1" applyFont="1" applyFill="1" applyBorder="1" applyProtection="1"/>
    <xf numFmtId="165" fontId="0" fillId="0" borderId="4" xfId="1" applyNumberFormat="1" applyFont="1" applyFill="1" applyBorder="1" applyProtection="1"/>
    <xf numFmtId="44" fontId="0" fillId="2" borderId="13" xfId="0" applyNumberFormat="1" applyFill="1" applyBorder="1" applyProtection="1">
      <protection locked="0"/>
    </xf>
    <xf numFmtId="0" fontId="14" fillId="2" borderId="13" xfId="0" applyFont="1" applyFill="1" applyBorder="1" applyAlignment="1" applyProtection="1">
      <alignment horizontal="center"/>
      <protection locked="0"/>
    </xf>
    <xf numFmtId="0" fontId="10" fillId="0" borderId="0" xfId="0" applyFont="1"/>
    <xf numFmtId="49" fontId="13" fillId="0" borderId="0" xfId="0" applyNumberFormat="1" applyFont="1" applyAlignment="1">
      <alignment horizontal="justify" vertical="center" wrapText="1"/>
    </xf>
    <xf numFmtId="49" fontId="0" fillId="0" borderId="0" xfId="0" applyNumberFormat="1" applyAlignment="1">
      <alignment horizontal="justify" vertical="center"/>
    </xf>
    <xf numFmtId="0" fontId="15" fillId="0" borderId="0" xfId="0" applyFont="1" applyAlignment="1">
      <alignment horizontal="center"/>
    </xf>
    <xf numFmtId="0" fontId="0" fillId="0" borderId="0" xfId="0" applyAlignment="1">
      <alignment horizontal="center"/>
    </xf>
    <xf numFmtId="170" fontId="0" fillId="11" borderId="0" xfId="0" applyNumberFormat="1" applyFill="1" applyAlignment="1">
      <alignment horizontal="center"/>
    </xf>
    <xf numFmtId="0" fontId="5" fillId="0" borderId="43" xfId="0" applyFont="1" applyBorder="1" applyAlignment="1">
      <alignment horizontal="center"/>
    </xf>
    <xf numFmtId="0" fontId="0" fillId="0" borderId="45" xfId="0" applyBorder="1" applyAlignment="1">
      <alignment vertical="center"/>
    </xf>
    <xf numFmtId="0" fontId="0" fillId="0" borderId="22" xfId="0" applyBorder="1" applyAlignment="1">
      <alignment horizontal="center"/>
    </xf>
    <xf numFmtId="0" fontId="0" fillId="0" borderId="23" xfId="0" applyBorder="1" applyAlignment="1">
      <alignment horizontal="center"/>
    </xf>
    <xf numFmtId="0" fontId="0" fillId="4" borderId="45" xfId="0" applyFill="1" applyBorder="1" applyAlignment="1">
      <alignment vertical="center"/>
    </xf>
    <xf numFmtId="0" fontId="0" fillId="4" borderId="22" xfId="0" applyFill="1" applyBorder="1" applyAlignment="1">
      <alignment horizontal="center"/>
    </xf>
    <xf numFmtId="0" fontId="0" fillId="4" borderId="0" xfId="0" applyFill="1" applyAlignment="1">
      <alignment horizontal="center"/>
    </xf>
    <xf numFmtId="0" fontId="0" fillId="4" borderId="23" xfId="0" applyFill="1" applyBorder="1" applyAlignment="1">
      <alignment horizontal="center"/>
    </xf>
    <xf numFmtId="0" fontId="0" fillId="4" borderId="0" xfId="0" applyFill="1"/>
    <xf numFmtId="0" fontId="0" fillId="0" borderId="46" xfId="0" applyBorder="1" applyAlignment="1">
      <alignment vertical="center"/>
    </xf>
    <xf numFmtId="0" fontId="0" fillId="0" borderId="19" xfId="0" applyBorder="1" applyAlignment="1">
      <alignment horizontal="center"/>
    </xf>
    <xf numFmtId="0" fontId="0" fillId="0" borderId="31" xfId="0" applyBorder="1" applyAlignment="1">
      <alignment horizontal="center"/>
    </xf>
    <xf numFmtId="0" fontId="0" fillId="0" borderId="20" xfId="0" applyBorder="1" applyAlignment="1">
      <alignment horizontal="center"/>
    </xf>
    <xf numFmtId="0" fontId="27" fillId="0" borderId="0" xfId="0" applyFont="1"/>
    <xf numFmtId="0" fontId="0" fillId="0" borderId="6" xfId="0" applyBorder="1" applyAlignment="1">
      <alignment horizontal="left"/>
    </xf>
    <xf numFmtId="0" fontId="2" fillId="0" borderId="0" xfId="0" applyFont="1" applyAlignment="1">
      <alignment horizontal="right"/>
    </xf>
    <xf numFmtId="3" fontId="18" fillId="0" borderId="14" xfId="0" applyNumberFormat="1" applyFont="1" applyBorder="1" applyAlignment="1">
      <alignment horizontal="center"/>
    </xf>
    <xf numFmtId="1" fontId="18" fillId="0" borderId="0" xfId="0" applyNumberFormat="1" applyFont="1" applyAlignment="1">
      <alignment horizontal="center"/>
    </xf>
    <xf numFmtId="3" fontId="18" fillId="0" borderId="0" xfId="0" applyNumberFormat="1" applyFont="1" applyAlignment="1">
      <alignment horizontal="center"/>
    </xf>
    <xf numFmtId="1" fontId="18" fillId="0" borderId="14" xfId="0" applyNumberFormat="1" applyFont="1" applyBorder="1" applyAlignment="1">
      <alignment horizontal="center"/>
    </xf>
    <xf numFmtId="0" fontId="14" fillId="0" borderId="34" xfId="0" applyFont="1" applyBorder="1" applyAlignment="1">
      <alignment horizontal="center"/>
    </xf>
    <xf numFmtId="10" fontId="14" fillId="0" borderId="35" xfId="0" applyNumberFormat="1" applyFont="1" applyBorder="1" applyAlignment="1">
      <alignment horizontal="center"/>
    </xf>
    <xf numFmtId="10" fontId="14" fillId="0" borderId="14" xfId="0" applyNumberFormat="1" applyFont="1" applyBorder="1" applyAlignment="1">
      <alignment horizontal="center"/>
    </xf>
    <xf numFmtId="10" fontId="14" fillId="0" borderId="27" xfId="0" applyNumberFormat="1" applyFont="1" applyBorder="1" applyAlignment="1">
      <alignment horizontal="center"/>
    </xf>
    <xf numFmtId="176" fontId="14" fillId="0" borderId="14" xfId="0" applyNumberFormat="1" applyFont="1" applyBorder="1" applyAlignment="1">
      <alignment horizontal="center"/>
    </xf>
    <xf numFmtId="0" fontId="14" fillId="0" borderId="27" xfId="0" applyFont="1" applyBorder="1" applyAlignment="1">
      <alignment horizontal="center"/>
    </xf>
    <xf numFmtId="2" fontId="2" fillId="11" borderId="14" xfId="0" applyNumberFormat="1" applyFont="1" applyFill="1" applyBorder="1" applyAlignment="1">
      <alignment horizontal="center"/>
    </xf>
    <xf numFmtId="2" fontId="14" fillId="0" borderId="14" xfId="0" applyNumberFormat="1" applyFont="1" applyBorder="1" applyAlignment="1">
      <alignment horizontal="center"/>
    </xf>
    <xf numFmtId="0" fontId="0" fillId="0" borderId="6" xfId="0" applyBorder="1"/>
    <xf numFmtId="0" fontId="0" fillId="0" borderId="12" xfId="0" applyBorder="1"/>
    <xf numFmtId="0" fontId="0" fillId="0" borderId="10" xfId="0" applyBorder="1"/>
    <xf numFmtId="0" fontId="0" fillId="0" borderId="24" xfId="0" applyBorder="1"/>
    <xf numFmtId="0" fontId="0" fillId="0" borderId="8" xfId="0" applyBorder="1"/>
    <xf numFmtId="0" fontId="0" fillId="0" borderId="9" xfId="0" applyBorder="1"/>
    <xf numFmtId="0" fontId="0" fillId="0" borderId="4" xfId="0" applyBorder="1"/>
    <xf numFmtId="0" fontId="0" fillId="0" borderId="7" xfId="0" applyBorder="1"/>
    <xf numFmtId="0" fontId="14" fillId="0" borderId="7" xfId="0" applyFont="1" applyBorder="1"/>
    <xf numFmtId="0" fontId="0" fillId="0" borderId="9" xfId="0" applyBorder="1" applyAlignment="1">
      <alignment horizontal="right"/>
    </xf>
    <xf numFmtId="0" fontId="0" fillId="0" borderId="5" xfId="0" applyBorder="1"/>
    <xf numFmtId="0" fontId="0" fillId="0" borderId="0" xfId="0" applyAlignment="1">
      <alignment horizontal="right"/>
    </xf>
    <xf numFmtId="0" fontId="0" fillId="0" borderId="7" xfId="0" applyBorder="1" applyAlignment="1">
      <alignment horizontal="right"/>
    </xf>
    <xf numFmtId="168" fontId="0" fillId="0" borderId="0" xfId="0" applyNumberFormat="1" applyAlignment="1">
      <alignment horizontal="center"/>
    </xf>
    <xf numFmtId="0" fontId="14" fillId="0" borderId="0" xfId="0" applyFont="1" applyAlignment="1">
      <alignment horizontal="right"/>
    </xf>
    <xf numFmtId="2" fontId="38" fillId="0" borderId="10" xfId="0" applyNumberFormat="1" applyFont="1" applyBorder="1" applyAlignment="1">
      <alignment horizontal="center"/>
    </xf>
    <xf numFmtId="2" fontId="0" fillId="0" borderId="0" xfId="0" applyNumberFormat="1"/>
    <xf numFmtId="0" fontId="0" fillId="0" borderId="14" xfId="0" applyBorder="1" applyAlignment="1">
      <alignment horizontal="center"/>
    </xf>
    <xf numFmtId="0" fontId="18" fillId="9" borderId="14" xfId="0" applyFont="1" applyFill="1" applyBorder="1" applyAlignment="1">
      <alignment horizontal="center"/>
    </xf>
    <xf numFmtId="0" fontId="21" fillId="0" borderId="0" xfId="0" applyFont="1"/>
    <xf numFmtId="0" fontId="0" fillId="10" borderId="0" xfId="0" applyFill="1"/>
    <xf numFmtId="0" fontId="19" fillId="0" borderId="0" xfId="0" applyFont="1"/>
    <xf numFmtId="0" fontId="19" fillId="0" borderId="0" xfId="0" applyFont="1" applyAlignment="1">
      <alignment horizontal="center"/>
    </xf>
    <xf numFmtId="173" fontId="0" fillId="0" borderId="0" xfId="0" applyNumberFormat="1"/>
    <xf numFmtId="10" fontId="0" fillId="0" borderId="0" xfId="0" applyNumberFormat="1" applyAlignment="1">
      <alignment horizontal="center"/>
    </xf>
    <xf numFmtId="173" fontId="0" fillId="0" borderId="0" xfId="0" applyNumberFormat="1" applyAlignment="1">
      <alignment horizontal="center"/>
    </xf>
    <xf numFmtId="0" fontId="10" fillId="0" borderId="0" xfId="0" applyFont="1" applyAlignment="1">
      <alignment horizontal="right"/>
    </xf>
    <xf numFmtId="173" fontId="0" fillId="0" borderId="14" xfId="0" applyNumberFormat="1" applyBorder="1"/>
    <xf numFmtId="0" fontId="20" fillId="0" borderId="0" xfId="0" applyFont="1"/>
    <xf numFmtId="2" fontId="20" fillId="0" borderId="0" xfId="0" applyNumberFormat="1" applyFont="1" applyAlignment="1">
      <alignment horizontal="center"/>
    </xf>
    <xf numFmtId="0" fontId="0" fillId="0" borderId="14" xfId="0" applyBorder="1"/>
    <xf numFmtId="173" fontId="0" fillId="0" borderId="14" xfId="0" applyNumberFormat="1" applyBorder="1" applyAlignment="1">
      <alignment horizontal="center"/>
    </xf>
    <xf numFmtId="0" fontId="19" fillId="0" borderId="0" xfId="0" applyFont="1" applyAlignment="1">
      <alignment wrapText="1"/>
    </xf>
    <xf numFmtId="0" fontId="35" fillId="0" borderId="14" xfId="0" applyFont="1" applyBorder="1" applyAlignment="1">
      <alignment horizontal="center"/>
    </xf>
    <xf numFmtId="0" fontId="22" fillId="0" borderId="0" xfId="0" applyFont="1" applyAlignment="1">
      <alignment horizontal="center"/>
    </xf>
    <xf numFmtId="0" fontId="23" fillId="0" borderId="0" xfId="0" applyFont="1"/>
    <xf numFmtId="38" fontId="0" fillId="0" borderId="0" xfId="0" applyNumberFormat="1"/>
    <xf numFmtId="170" fontId="23" fillId="0" borderId="9" xfId="0" applyNumberFormat="1" applyFont="1" applyBorder="1"/>
    <xf numFmtId="0" fontId="16" fillId="0" borderId="0" xfId="0" applyFont="1" applyAlignment="1">
      <alignment horizontal="center" vertical="center" wrapText="1"/>
    </xf>
    <xf numFmtId="0" fontId="16" fillId="0" borderId="14" xfId="0" applyFont="1" applyBorder="1" applyAlignment="1">
      <alignment horizontal="center" vertical="center" wrapText="1"/>
    </xf>
    <xf numFmtId="0" fontId="19" fillId="0" borderId="0" xfId="0" applyFont="1" applyAlignment="1">
      <alignment horizontal="left"/>
    </xf>
    <xf numFmtId="0" fontId="13" fillId="0" borderId="0" xfId="0" applyFont="1"/>
    <xf numFmtId="0" fontId="31" fillId="0" borderId="7" xfId="0" applyFont="1" applyBorder="1"/>
    <xf numFmtId="0" fontId="18" fillId="0" borderId="14" xfId="0" applyFont="1" applyBorder="1" applyAlignment="1">
      <alignment horizontal="center"/>
    </xf>
    <xf numFmtId="165" fontId="18" fillId="0" borderId="15" xfId="0" applyNumberFormat="1" applyFont="1" applyBorder="1" applyAlignment="1">
      <alignment horizontal="right"/>
    </xf>
    <xf numFmtId="0" fontId="31" fillId="0" borderId="7" xfId="0" applyFont="1" applyBorder="1" applyAlignment="1">
      <alignment horizontal="right"/>
    </xf>
    <xf numFmtId="0" fontId="14" fillId="0" borderId="1" xfId="0" applyFont="1" applyBorder="1" applyAlignment="1">
      <alignment horizontal="right"/>
    </xf>
    <xf numFmtId="0" fontId="35" fillId="0" borderId="25" xfId="0" applyFont="1" applyBorder="1" applyAlignment="1">
      <alignment horizontal="center"/>
    </xf>
    <xf numFmtId="0" fontId="35" fillId="0" borderId="43" xfId="0" applyFont="1" applyBorder="1" applyAlignment="1">
      <alignment horizontal="center"/>
    </xf>
    <xf numFmtId="0" fontId="0" fillId="0" borderId="31" xfId="0" applyBorder="1"/>
    <xf numFmtId="0" fontId="21" fillId="0" borderId="31" xfId="0" applyFont="1" applyBorder="1" applyAlignment="1">
      <alignment horizontal="right"/>
    </xf>
    <xf numFmtId="0" fontId="0" fillId="0" borderId="31" xfId="0" applyBorder="1" applyAlignment="1">
      <alignment horizontal="right"/>
    </xf>
    <xf numFmtId="0" fontId="0" fillId="0" borderId="0" xfId="0" applyAlignment="1">
      <alignment wrapText="1"/>
    </xf>
    <xf numFmtId="0" fontId="14" fillId="0" borderId="14" xfId="0" applyFont="1" applyBorder="1" applyAlignment="1">
      <alignment horizontal="right"/>
    </xf>
    <xf numFmtId="0" fontId="18" fillId="0" borderId="4" xfId="0" applyFont="1" applyBorder="1" applyAlignment="1">
      <alignment horizontal="right" vertical="center"/>
    </xf>
    <xf numFmtId="0" fontId="14" fillId="0" borderId="14" xfId="0" applyFont="1" applyBorder="1" applyAlignment="1">
      <alignment horizontal="center" vertical="center" wrapText="1"/>
    </xf>
    <xf numFmtId="0" fontId="14" fillId="0" borderId="14" xfId="0" applyFont="1" applyBorder="1"/>
    <xf numFmtId="0" fontId="0" fillId="0" borderId="39" xfId="0" applyBorder="1"/>
    <xf numFmtId="0" fontId="18" fillId="0" borderId="14" xfId="0" applyFont="1" applyBorder="1" applyAlignment="1">
      <alignment horizontal="right"/>
    </xf>
    <xf numFmtId="42" fontId="18" fillId="0" borderId="14" xfId="0" applyNumberFormat="1" applyFont="1" applyBorder="1"/>
    <xf numFmtId="0" fontId="2" fillId="0" borderId="0" xfId="0" applyFont="1"/>
    <xf numFmtId="0" fontId="24" fillId="0" borderId="0" xfId="0" applyFont="1"/>
    <xf numFmtId="0" fontId="40" fillId="0" borderId="0" xfId="0" applyFont="1" applyAlignment="1">
      <alignment horizontal="center"/>
    </xf>
    <xf numFmtId="0" fontId="24" fillId="0" borderId="0" xfId="0" applyFont="1" applyAlignment="1">
      <alignment horizontal="center" wrapText="1"/>
    </xf>
    <xf numFmtId="0" fontId="24" fillId="0" borderId="9" xfId="0" applyFont="1" applyBorder="1" applyAlignment="1">
      <alignment horizontal="left"/>
    </xf>
    <xf numFmtId="0" fontId="21" fillId="0" borderId="0" xfId="0" applyFont="1" applyAlignment="1">
      <alignment horizontal="center"/>
    </xf>
    <xf numFmtId="165" fontId="24" fillId="0" borderId="0" xfId="0" applyNumberFormat="1" applyFont="1" applyAlignment="1">
      <alignment horizontal="center"/>
    </xf>
    <xf numFmtId="0" fontId="24" fillId="0" borderId="0" xfId="0" applyFont="1" applyAlignment="1">
      <alignment horizontal="center"/>
    </xf>
    <xf numFmtId="0" fontId="24" fillId="0" borderId="9" xfId="0" applyFont="1" applyBorder="1" applyAlignment="1">
      <alignment horizontal="center"/>
    </xf>
    <xf numFmtId="0" fontId="24" fillId="0" borderId="0" xfId="0" applyFont="1" applyAlignment="1">
      <alignment horizontal="right"/>
    </xf>
    <xf numFmtId="0" fontId="34" fillId="0" borderId="0" xfId="0" applyFont="1" applyAlignment="1">
      <alignment horizontal="right"/>
    </xf>
    <xf numFmtId="0" fontId="33" fillId="0" borderId="0" xfId="0" applyFont="1"/>
    <xf numFmtId="0" fontId="24" fillId="0" borderId="0" xfId="0" applyFont="1" applyAlignment="1">
      <alignment horizontal="left"/>
    </xf>
    <xf numFmtId="42" fontId="17" fillId="0" borderId="0" xfId="0" applyNumberFormat="1" applyFont="1"/>
    <xf numFmtId="0" fontId="26" fillId="0" borderId="0" xfId="0" applyFont="1"/>
    <xf numFmtId="0" fontId="24" fillId="0" borderId="14" xfId="0" applyFont="1" applyBorder="1" applyAlignment="1">
      <alignment horizontal="center"/>
    </xf>
    <xf numFmtId="0" fontId="0" fillId="0" borderId="4" xfId="0" applyBorder="1" applyAlignment="1">
      <alignment horizontal="right"/>
    </xf>
    <xf numFmtId="0" fontId="28" fillId="0" borderId="0" xfId="0" applyFont="1" applyAlignment="1">
      <alignment horizontal="left" vertical="top"/>
    </xf>
    <xf numFmtId="0" fontId="29" fillId="0" borderId="0" xfId="0" applyFont="1" applyAlignment="1">
      <alignment horizontal="center"/>
    </xf>
    <xf numFmtId="0" fontId="0" fillId="12" borderId="14" xfId="0" applyFill="1" applyBorder="1"/>
    <xf numFmtId="10" fontId="0" fillId="0" borderId="0" xfId="0" applyNumberFormat="1"/>
    <xf numFmtId="165" fontId="0" fillId="0" borderId="0" xfId="0" applyNumberFormat="1"/>
    <xf numFmtId="9" fontId="0" fillId="0" borderId="0" xfId="0" applyNumberFormat="1"/>
    <xf numFmtId="10" fontId="0" fillId="0" borderId="5" xfId="2" applyNumberFormat="1" applyFont="1" applyBorder="1" applyAlignment="1" applyProtection="1">
      <alignment horizontal="center"/>
    </xf>
    <xf numFmtId="3" fontId="0" fillId="0" borderId="0" xfId="0" applyNumberFormat="1"/>
    <xf numFmtId="10" fontId="14" fillId="12" borderId="14" xfId="0" applyNumberFormat="1" applyFont="1" applyFill="1" applyBorder="1"/>
    <xf numFmtId="0" fontId="14" fillId="12" borderId="14" xfId="0" applyFont="1" applyFill="1" applyBorder="1"/>
    <xf numFmtId="3" fontId="14" fillId="0" borderId="0" xfId="0" applyNumberFormat="1" applyFont="1"/>
    <xf numFmtId="0" fontId="16" fillId="0" borderId="0" xfId="0" applyFont="1"/>
    <xf numFmtId="3" fontId="16" fillId="0" borderId="0" xfId="0" applyNumberFormat="1" applyFont="1"/>
    <xf numFmtId="0" fontId="31" fillId="0" borderId="17" xfId="0" applyFont="1" applyBorder="1"/>
    <xf numFmtId="0" fontId="31" fillId="0" borderId="21" xfId="0" applyFont="1" applyBorder="1" applyAlignment="1">
      <alignment horizontal="right"/>
    </xf>
    <xf numFmtId="44" fontId="0" fillId="0" borderId="18" xfId="0" applyNumberFormat="1" applyBorder="1"/>
    <xf numFmtId="0" fontId="31" fillId="0" borderId="22" xfId="0" applyFont="1" applyBorder="1"/>
    <xf numFmtId="0" fontId="31" fillId="0" borderId="0" xfId="0" applyFont="1" applyAlignment="1">
      <alignment horizontal="right"/>
    </xf>
    <xf numFmtId="44" fontId="0" fillId="0" borderId="23" xfId="0" applyNumberFormat="1" applyBorder="1"/>
    <xf numFmtId="0" fontId="31" fillId="0" borderId="19" xfId="0" applyFont="1" applyBorder="1"/>
    <xf numFmtId="0" fontId="31" fillId="0" borderId="31" xfId="0" applyFont="1" applyBorder="1" applyAlignment="1">
      <alignment horizontal="right"/>
    </xf>
    <xf numFmtId="44" fontId="14" fillId="0" borderId="20" xfId="0" applyNumberFormat="1" applyFont="1" applyBorder="1"/>
    <xf numFmtId="44" fontId="0" fillId="0" borderId="20" xfId="0" applyNumberFormat="1" applyBorder="1"/>
    <xf numFmtId="49" fontId="18" fillId="0" borderId="33" xfId="0" applyNumberFormat="1" applyFont="1" applyBorder="1" applyAlignment="1">
      <alignment horizontal="center" wrapText="1"/>
    </xf>
    <xf numFmtId="49" fontId="18" fillId="0" borderId="34" xfId="0" applyNumberFormat="1" applyFont="1" applyBorder="1" applyAlignment="1">
      <alignment horizontal="center" wrapText="1"/>
    </xf>
    <xf numFmtId="49" fontId="18" fillId="0" borderId="35" xfId="0" applyNumberFormat="1" applyFont="1" applyBorder="1" applyAlignment="1">
      <alignment horizontal="center" wrapText="1"/>
    </xf>
    <xf numFmtId="3" fontId="37" fillId="0" borderId="14" xfId="0" applyNumberFormat="1" applyFont="1" applyBorder="1"/>
    <xf numFmtId="10" fontId="9" fillId="0" borderId="0" xfId="0" applyNumberFormat="1" applyFont="1" applyAlignment="1">
      <alignment horizontal="center"/>
    </xf>
    <xf numFmtId="3" fontId="18" fillId="0" borderId="14" xfId="0" applyNumberFormat="1" applyFont="1" applyBorder="1"/>
    <xf numFmtId="0" fontId="18" fillId="0" borderId="37" xfId="0" applyFont="1" applyBorder="1" applyAlignment="1">
      <alignment horizontal="center"/>
    </xf>
    <xf numFmtId="3" fontId="18" fillId="0" borderId="30" xfId="0" applyNumberFormat="1" applyFont="1" applyBorder="1" applyAlignment="1">
      <alignment horizontal="center"/>
    </xf>
    <xf numFmtId="3" fontId="18" fillId="0" borderId="38" xfId="0" applyNumberFormat="1" applyFont="1" applyBorder="1" applyAlignment="1">
      <alignment horizontal="center"/>
    </xf>
    <xf numFmtId="3" fontId="18" fillId="0" borderId="30" xfId="0" applyNumberFormat="1" applyFont="1" applyBorder="1"/>
    <xf numFmtId="0" fontId="18" fillId="0" borderId="35" xfId="0" applyFont="1" applyBorder="1" applyAlignment="1">
      <alignment horizontal="center" wrapText="1"/>
    </xf>
    <xf numFmtId="0" fontId="35" fillId="0" borderId="0" xfId="0" applyFont="1" applyAlignment="1">
      <alignment wrapText="1"/>
    </xf>
    <xf numFmtId="49" fontId="18" fillId="0" borderId="0" xfId="0" applyNumberFormat="1" applyFont="1" applyAlignment="1">
      <alignment wrapText="1"/>
    </xf>
    <xf numFmtId="0" fontId="18" fillId="0" borderId="30" xfId="0" applyFont="1" applyBorder="1" applyAlignment="1">
      <alignment horizontal="center"/>
    </xf>
    <xf numFmtId="1" fontId="18" fillId="0" borderId="38" xfId="0" applyNumberFormat="1" applyFont="1" applyBorder="1" applyAlignment="1">
      <alignment horizontal="center"/>
    </xf>
    <xf numFmtId="1" fontId="18" fillId="0" borderId="30" xfId="0" applyNumberFormat="1" applyFont="1" applyBorder="1" applyAlignment="1">
      <alignment horizontal="center"/>
    </xf>
    <xf numFmtId="0" fontId="6" fillId="0" borderId="0" xfId="0" applyFont="1"/>
    <xf numFmtId="44" fontId="0" fillId="0" borderId="35" xfId="0" applyNumberFormat="1" applyBorder="1"/>
    <xf numFmtId="0" fontId="0" fillId="0" borderId="14" xfId="0" applyBorder="1" applyAlignment="1">
      <alignment horizontal="right" indent="1"/>
    </xf>
    <xf numFmtId="44" fontId="0" fillId="0" borderId="27" xfId="0" applyNumberFormat="1" applyBorder="1"/>
    <xf numFmtId="10" fontId="0" fillId="0" borderId="46" xfId="0" applyNumberFormat="1" applyBorder="1" applyAlignment="1">
      <alignment horizontal="center"/>
    </xf>
    <xf numFmtId="0" fontId="30" fillId="0" borderId="0" xfId="0" applyFont="1" applyAlignment="1">
      <alignment horizontal="center"/>
    </xf>
    <xf numFmtId="0" fontId="18" fillId="0" borderId="0" xfId="0" applyFont="1" applyAlignment="1">
      <alignment horizontal="center" vertical="center" wrapText="1"/>
    </xf>
    <xf numFmtId="0" fontId="0" fillId="0" borderId="0" xfId="0" applyAlignment="1">
      <alignment horizontal="center" vertical="center" wrapText="1"/>
    </xf>
    <xf numFmtId="0" fontId="18" fillId="0" borderId="0" xfId="0" applyFont="1" applyAlignment="1">
      <alignment horizontal="center" wrapText="1"/>
    </xf>
    <xf numFmtId="164" fontId="14" fillId="0" borderId="0" xfId="0" applyNumberFormat="1" applyFont="1" applyAlignment="1">
      <alignment horizontal="center"/>
    </xf>
    <xf numFmtId="0" fontId="18" fillId="0" borderId="7" xfId="0" applyFont="1" applyBorder="1" applyAlignment="1">
      <alignment horizontal="left"/>
    </xf>
    <xf numFmtId="0" fontId="2" fillId="0" borderId="15" xfId="0" applyFont="1" applyBorder="1" applyAlignment="1">
      <alignment horizontal="left"/>
    </xf>
    <xf numFmtId="0" fontId="18" fillId="0" borderId="15" xfId="0" applyFont="1" applyBorder="1" applyAlignment="1">
      <alignment horizontal="left"/>
    </xf>
    <xf numFmtId="0" fontId="18" fillId="0" borderId="6" xfId="0" applyFont="1" applyBorder="1" applyAlignment="1">
      <alignment horizontal="center"/>
    </xf>
    <xf numFmtId="0" fontId="18" fillId="0" borderId="0" xfId="0" applyFont="1" applyAlignment="1">
      <alignment horizontal="left"/>
    </xf>
    <xf numFmtId="0" fontId="18" fillId="0" borderId="16" xfId="0" applyFont="1" applyBorder="1" applyAlignment="1">
      <alignment horizontal="center"/>
    </xf>
    <xf numFmtId="0" fontId="19" fillId="0" borderId="0" xfId="0" applyFont="1" applyAlignment="1">
      <alignment horizontal="right"/>
    </xf>
    <xf numFmtId="0" fontId="18" fillId="0" borderId="13" xfId="0" applyFont="1" applyBorder="1" applyAlignment="1">
      <alignment horizontal="right"/>
    </xf>
    <xf numFmtId="167" fontId="18" fillId="0" borderId="0" xfId="0" applyNumberFormat="1" applyFont="1" applyAlignment="1">
      <alignment horizontal="center"/>
    </xf>
    <xf numFmtId="0" fontId="0" fillId="0" borderId="23" xfId="0" applyBorder="1"/>
    <xf numFmtId="0" fontId="0" fillId="0" borderId="24" xfId="0" applyBorder="1" applyAlignment="1">
      <alignment horizontal="left"/>
    </xf>
    <xf numFmtId="0" fontId="0" fillId="0" borderId="27" xfId="0" applyBorder="1" applyAlignment="1">
      <alignment horizontal="center"/>
    </xf>
    <xf numFmtId="3" fontId="0" fillId="0" borderId="14" xfId="0" applyNumberFormat="1" applyBorder="1" applyAlignment="1">
      <alignment horizontal="center"/>
    </xf>
    <xf numFmtId="0" fontId="0" fillId="0" borderId="22" xfId="0" applyBorder="1"/>
    <xf numFmtId="0" fontId="0" fillId="12" borderId="14" xfId="0" applyFill="1" applyBorder="1" applyAlignment="1">
      <alignment horizontal="center"/>
    </xf>
    <xf numFmtId="3" fontId="0" fillId="0" borderId="27" xfId="0" applyNumberFormat="1" applyBorder="1" applyAlignment="1">
      <alignment horizontal="right"/>
    </xf>
    <xf numFmtId="0" fontId="2" fillId="0" borderId="0" xfId="0" applyFont="1" applyAlignment="1">
      <alignment horizontal="center"/>
    </xf>
    <xf numFmtId="0" fontId="0" fillId="0" borderId="22" xfId="0" applyBorder="1" applyAlignment="1">
      <alignment horizontal="left"/>
    </xf>
    <xf numFmtId="9" fontId="0" fillId="0" borderId="0" xfId="0" applyNumberFormat="1" applyAlignment="1">
      <alignment horizontal="center"/>
    </xf>
    <xf numFmtId="0" fontId="0" fillId="0" borderId="0" xfId="0" applyAlignment="1">
      <alignment horizontal="left" indent="1"/>
    </xf>
    <xf numFmtId="0" fontId="0" fillId="0" borderId="19" xfId="0" applyBorder="1" applyAlignment="1">
      <alignment horizontal="left"/>
    </xf>
    <xf numFmtId="0" fontId="14" fillId="2" borderId="4" xfId="0" applyFont="1" applyFill="1" applyBorder="1" applyProtection="1">
      <protection locked="0"/>
    </xf>
    <xf numFmtId="1" fontId="14" fillId="2" borderId="14" xfId="0" applyNumberFormat="1" applyFont="1" applyFill="1" applyBorder="1" applyAlignment="1" applyProtection="1">
      <alignment horizontal="center"/>
      <protection locked="0"/>
    </xf>
    <xf numFmtId="169" fontId="14" fillId="2" borderId="10" xfId="0" applyNumberFormat="1" applyFont="1" applyFill="1" applyBorder="1" applyAlignment="1" applyProtection="1">
      <alignment horizontal="center" vertical="center"/>
      <protection locked="0"/>
    </xf>
    <xf numFmtId="42" fontId="14" fillId="2" borderId="14" xfId="0" applyNumberFormat="1" applyFont="1" applyFill="1" applyBorder="1" applyAlignment="1" applyProtection="1">
      <alignment horizontal="center" vertical="center" wrapText="1"/>
      <protection locked="0"/>
    </xf>
    <xf numFmtId="172" fontId="0" fillId="2" borderId="44" xfId="2" applyNumberFormat="1" applyFont="1" applyFill="1" applyBorder="1" applyAlignment="1" applyProtection="1">
      <alignment horizontal="center"/>
      <protection locked="0"/>
    </xf>
    <xf numFmtId="42" fontId="14" fillId="12" borderId="14" xfId="0" applyNumberFormat="1" applyFont="1" applyFill="1" applyBorder="1" applyAlignment="1" applyProtection="1">
      <alignment horizontal="center"/>
      <protection locked="0"/>
    </xf>
    <xf numFmtId="177" fontId="0" fillId="0" borderId="7" xfId="0" applyNumberFormat="1" applyBorder="1" applyAlignment="1">
      <alignment horizontal="center" wrapText="1"/>
    </xf>
    <xf numFmtId="0" fontId="0" fillId="0" borderId="58" xfId="0" applyBorder="1" applyAlignment="1">
      <alignment horizontal="center"/>
    </xf>
    <xf numFmtId="0" fontId="0" fillId="0" borderId="59" xfId="0" applyBorder="1" applyAlignment="1">
      <alignment horizontal="center"/>
    </xf>
    <xf numFmtId="0" fontId="2" fillId="0" borderId="58" xfId="0" applyFont="1" applyBorder="1" applyAlignment="1">
      <alignment horizontal="center"/>
    </xf>
    <xf numFmtId="0" fontId="0" fillId="0" borderId="60" xfId="0" applyBorder="1" applyAlignment="1">
      <alignment horizontal="center"/>
    </xf>
    <xf numFmtId="0" fontId="0" fillId="0" borderId="60" xfId="0" applyBorder="1" applyAlignment="1">
      <alignment horizontal="left"/>
    </xf>
    <xf numFmtId="0" fontId="0" fillId="0" borderId="59" xfId="0" applyBorder="1" applyAlignment="1">
      <alignment horizontal="left"/>
    </xf>
    <xf numFmtId="0" fontId="0" fillId="0" borderId="60" xfId="0" applyBorder="1"/>
    <xf numFmtId="0" fontId="0" fillId="0" borderId="59" xfId="0" applyBorder="1"/>
    <xf numFmtId="9" fontId="0" fillId="0" borderId="60" xfId="0" applyNumberFormat="1" applyBorder="1" applyAlignment="1">
      <alignment horizontal="center"/>
    </xf>
    <xf numFmtId="9" fontId="0" fillId="0" borderId="59" xfId="0" applyNumberFormat="1" applyBorder="1" applyAlignment="1">
      <alignment horizontal="center"/>
    </xf>
    <xf numFmtId="0" fontId="2" fillId="0" borderId="17" xfId="0" applyFont="1" applyBorder="1" applyAlignment="1">
      <alignment horizontal="center"/>
    </xf>
    <xf numFmtId="0" fontId="2" fillId="0" borderId="18" xfId="0" applyFont="1" applyBorder="1" applyAlignment="1">
      <alignment horizontal="center"/>
    </xf>
    <xf numFmtId="170" fontId="0" fillId="0" borderId="0" xfId="0" applyNumberFormat="1" applyAlignment="1">
      <alignment horizontal="center"/>
    </xf>
    <xf numFmtId="180" fontId="0" fillId="0" borderId="0" xfId="0" applyNumberFormat="1" applyAlignment="1">
      <alignment horizontal="center"/>
    </xf>
    <xf numFmtId="180" fontId="0" fillId="0" borderId="31" xfId="0" applyNumberForma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49" fontId="0" fillId="0" borderId="0" xfId="0" applyNumberFormat="1" applyAlignment="1">
      <alignment horizontal="left"/>
    </xf>
    <xf numFmtId="49" fontId="0" fillId="0" borderId="0" xfId="0" applyNumberFormat="1" applyAlignment="1">
      <alignment horizontal="center"/>
    </xf>
    <xf numFmtId="180" fontId="0" fillId="0" borderId="22" xfId="0" applyNumberFormat="1" applyBorder="1"/>
    <xf numFmtId="180" fontId="0" fillId="0" borderId="19" xfId="0" applyNumberFormat="1" applyBorder="1"/>
    <xf numFmtId="49" fontId="0" fillId="0" borderId="31" xfId="0" applyNumberFormat="1" applyBorder="1" applyAlignment="1">
      <alignment horizontal="left"/>
    </xf>
    <xf numFmtId="49" fontId="0" fillId="0" borderId="31" xfId="0" applyNumberFormat="1" applyBorder="1" applyAlignment="1">
      <alignment horizontal="center"/>
    </xf>
    <xf numFmtId="0" fontId="2" fillId="0" borderId="22" xfId="0" applyFont="1" applyBorder="1" applyAlignment="1">
      <alignment horizontal="left"/>
    </xf>
    <xf numFmtId="0" fontId="2" fillId="0" borderId="0" xfId="0" applyFont="1" applyAlignment="1">
      <alignment horizontal="left"/>
    </xf>
    <xf numFmtId="0" fontId="24" fillId="0" borderId="24" xfId="0" applyFont="1" applyBorder="1"/>
    <xf numFmtId="170" fontId="16" fillId="0" borderId="0" xfId="0" applyNumberFormat="1" applyFont="1" applyAlignment="1">
      <alignment horizontal="center"/>
    </xf>
    <xf numFmtId="9" fontId="0" fillId="0" borderId="22" xfId="0" applyNumberFormat="1" applyBorder="1" applyAlignment="1">
      <alignment horizontal="center"/>
    </xf>
    <xf numFmtId="9" fontId="0" fillId="0" borderId="23" xfId="0" applyNumberFormat="1" applyBorder="1" applyAlignment="1">
      <alignment horizontal="center"/>
    </xf>
    <xf numFmtId="9" fontId="0" fillId="0" borderId="19" xfId="0" applyNumberFormat="1" applyBorder="1" applyAlignment="1">
      <alignment horizontal="center"/>
    </xf>
    <xf numFmtId="9" fontId="0" fillId="0" borderId="31" xfId="0" applyNumberFormat="1" applyBorder="1" applyAlignment="1">
      <alignment horizontal="center"/>
    </xf>
    <xf numFmtId="9" fontId="0" fillId="0" borderId="20" xfId="0" applyNumberFormat="1" applyBorder="1" applyAlignment="1">
      <alignment horizontal="center"/>
    </xf>
    <xf numFmtId="42" fontId="0" fillId="0" borderId="0" xfId="0" applyNumberFormat="1" applyAlignment="1">
      <alignment horizontal="center"/>
    </xf>
    <xf numFmtId="0" fontId="0" fillId="2" borderId="13" xfId="0" applyFill="1" applyBorder="1" applyAlignment="1" applyProtection="1">
      <alignment horizontal="center"/>
      <protection locked="0"/>
    </xf>
    <xf numFmtId="168" fontId="0" fillId="0" borderId="24" xfId="0" applyNumberFormat="1" applyBorder="1" applyAlignment="1">
      <alignment horizontal="center" vertical="center"/>
    </xf>
    <xf numFmtId="0" fontId="46" fillId="0" borderId="0" xfId="0" applyFont="1"/>
    <xf numFmtId="0" fontId="46" fillId="0" borderId="0" xfId="0" applyFont="1" applyAlignment="1">
      <alignment horizontal="center"/>
    </xf>
    <xf numFmtId="0" fontId="47" fillId="0" borderId="0" xfId="0" applyFont="1" applyAlignment="1">
      <alignment horizontal="center"/>
    </xf>
    <xf numFmtId="0" fontId="48" fillId="0" borderId="0" xfId="0" applyFont="1"/>
    <xf numFmtId="0" fontId="32" fillId="0" borderId="0" xfId="0" applyFont="1"/>
    <xf numFmtId="49" fontId="47" fillId="0" borderId="0" xfId="0" applyNumberFormat="1" applyFont="1" applyAlignment="1">
      <alignment vertical="center" wrapText="1"/>
    </xf>
    <xf numFmtId="0" fontId="14" fillId="0" borderId="16" xfId="0" applyFont="1" applyBorder="1" applyAlignment="1">
      <alignment horizontal="center"/>
    </xf>
    <xf numFmtId="166" fontId="14" fillId="0" borderId="16" xfId="0" applyNumberFormat="1" applyFont="1" applyBorder="1" applyAlignment="1">
      <alignment horizontal="center"/>
    </xf>
    <xf numFmtId="167" fontId="14" fillId="0" borderId="16" xfId="0" applyNumberFormat="1" applyFont="1" applyBorder="1" applyAlignment="1">
      <alignment horizontal="center"/>
    </xf>
    <xf numFmtId="167" fontId="14" fillId="2" borderId="16" xfId="0" applyNumberFormat="1" applyFont="1" applyFill="1" applyBorder="1" applyAlignment="1" applyProtection="1">
      <alignment horizontal="center"/>
      <protection locked="0"/>
    </xf>
    <xf numFmtId="166" fontId="14" fillId="2" borderId="16" xfId="0" applyNumberFormat="1" applyFont="1" applyFill="1" applyBorder="1" applyAlignment="1" applyProtection="1">
      <alignment horizontal="center"/>
      <protection locked="0"/>
    </xf>
    <xf numFmtId="0" fontId="2" fillId="0" borderId="7" xfId="0" applyFont="1" applyBorder="1" applyAlignment="1">
      <alignment horizontal="left" indent="1"/>
    </xf>
    <xf numFmtId="164" fontId="2" fillId="0" borderId="0" xfId="0" applyNumberFormat="1" applyFont="1"/>
    <xf numFmtId="164" fontId="18" fillId="0" borderId="0" xfId="0" applyNumberFormat="1" applyFont="1" applyAlignment="1">
      <alignment horizontal="center" vertical="center"/>
    </xf>
    <xf numFmtId="171" fontId="19" fillId="0" borderId="7" xfId="0" applyNumberFormat="1" applyFont="1" applyBorder="1" applyAlignment="1">
      <alignment horizontal="right"/>
    </xf>
    <xf numFmtId="0" fontId="21" fillId="0" borderId="15" xfId="0" applyFont="1" applyBorder="1" applyAlignment="1">
      <alignment horizontal="right"/>
    </xf>
    <xf numFmtId="0" fontId="0" fillId="0" borderId="15" xfId="0" applyBorder="1" applyAlignment="1">
      <alignment horizontal="right"/>
    </xf>
    <xf numFmtId="0" fontId="0" fillId="0" borderId="7" xfId="0" applyBorder="1" applyAlignment="1">
      <alignment horizontal="left" indent="1"/>
    </xf>
    <xf numFmtId="0" fontId="36" fillId="0" borderId="0" xfId="0" applyFont="1" applyAlignment="1">
      <alignment horizontal="right"/>
    </xf>
    <xf numFmtId="1" fontId="18" fillId="2" borderId="16" xfId="0" applyNumberFormat="1" applyFont="1" applyFill="1" applyBorder="1" applyAlignment="1" applyProtection="1">
      <alignment horizontal="center"/>
      <protection locked="0"/>
    </xf>
    <xf numFmtId="0" fontId="18" fillId="2" borderId="14" xfId="0" applyFont="1" applyFill="1" applyBorder="1" applyAlignment="1" applyProtection="1">
      <alignment horizontal="center"/>
      <protection locked="0"/>
    </xf>
    <xf numFmtId="0" fontId="14" fillId="0" borderId="0" xfId="0" applyFont="1" applyAlignment="1">
      <alignment horizontal="center"/>
    </xf>
    <xf numFmtId="1" fontId="18" fillId="0" borderId="16" xfId="0" applyNumberFormat="1" applyFont="1" applyBorder="1" applyAlignment="1">
      <alignment horizontal="center"/>
    </xf>
    <xf numFmtId="0" fontId="36" fillId="0" borderId="9" xfId="0" applyFont="1" applyBorder="1" applyAlignment="1">
      <alignment horizontal="right"/>
    </xf>
    <xf numFmtId="0" fontId="18" fillId="0" borderId="9" xfId="0" applyFont="1" applyBorder="1"/>
    <xf numFmtId="0" fontId="18" fillId="0" borderId="10" xfId="0" applyFont="1" applyBorder="1" applyAlignment="1">
      <alignment horizontal="right"/>
    </xf>
    <xf numFmtId="0" fontId="5" fillId="0" borderId="22" xfId="0" applyFont="1" applyBorder="1" applyAlignment="1">
      <alignment horizontal="center" vertical="center"/>
    </xf>
    <xf numFmtId="0" fontId="5" fillId="0" borderId="0" xfId="0" applyFont="1" applyAlignment="1">
      <alignment horizontal="center" vertical="center"/>
    </xf>
    <xf numFmtId="0" fontId="5" fillId="0" borderId="23" xfId="0" applyFont="1" applyBorder="1" applyAlignment="1">
      <alignment horizontal="center" vertical="center"/>
    </xf>
    <xf numFmtId="44" fontId="0" fillId="0" borderId="9" xfId="0" applyNumberFormat="1" applyBorder="1"/>
    <xf numFmtId="3" fontId="5" fillId="0" borderId="13" xfId="0" applyNumberFormat="1" applyFont="1" applyBorder="1" applyAlignment="1">
      <alignment horizontal="center"/>
    </xf>
    <xf numFmtId="3" fontId="5" fillId="0" borderId="53" xfId="0" applyNumberFormat="1" applyFont="1" applyBorder="1" applyAlignment="1">
      <alignment horizontal="right"/>
    </xf>
    <xf numFmtId="3" fontId="5" fillId="0" borderId="14" xfId="0" applyNumberFormat="1" applyFont="1" applyBorder="1" applyAlignment="1">
      <alignment horizontal="center"/>
    </xf>
    <xf numFmtId="3" fontId="5" fillId="0" borderId="27" xfId="0" applyNumberFormat="1" applyFont="1" applyBorder="1" applyAlignment="1">
      <alignment horizontal="right"/>
    </xf>
    <xf numFmtId="3" fontId="5" fillId="0" borderId="52" xfId="0" applyNumberFormat="1" applyFont="1" applyBorder="1" applyAlignment="1">
      <alignment horizontal="right"/>
    </xf>
    <xf numFmtId="0" fontId="2" fillId="0" borderId="31" xfId="0" applyFont="1" applyBorder="1" applyAlignment="1">
      <alignment horizontal="right"/>
    </xf>
    <xf numFmtId="10" fontId="0" fillId="0" borderId="30" xfId="0" applyNumberFormat="1" applyBorder="1" applyAlignment="1">
      <alignment horizontal="center"/>
    </xf>
    <xf numFmtId="10" fontId="0" fillId="0" borderId="38" xfId="0" applyNumberFormat="1" applyBorder="1" applyAlignment="1">
      <alignment horizontal="center"/>
    </xf>
    <xf numFmtId="0" fontId="2" fillId="0" borderId="22" xfId="0" applyFont="1" applyBorder="1"/>
    <xf numFmtId="0" fontId="2" fillId="0" borderId="23" xfId="0" applyFont="1" applyBorder="1"/>
    <xf numFmtId="180" fontId="0" fillId="0" borderId="23" xfId="0" applyNumberFormat="1" applyBorder="1" applyAlignment="1">
      <alignment horizontal="center"/>
    </xf>
    <xf numFmtId="37" fontId="0" fillId="0" borderId="23" xfId="0" applyNumberFormat="1" applyBorder="1" applyAlignment="1">
      <alignment horizontal="center"/>
    </xf>
    <xf numFmtId="37" fontId="0" fillId="0" borderId="20" xfId="0" applyNumberFormat="1" applyBorder="1" applyAlignment="1">
      <alignment horizontal="center"/>
    </xf>
    <xf numFmtId="170" fontId="0" fillId="0" borderId="0" xfId="0" applyNumberFormat="1"/>
    <xf numFmtId="180" fontId="0" fillId="0" borderId="0" xfId="0" applyNumberFormat="1"/>
    <xf numFmtId="37" fontId="0" fillId="0" borderId="52" xfId="0" applyNumberFormat="1" applyBorder="1" applyAlignment="1">
      <alignment horizontal="center"/>
    </xf>
    <xf numFmtId="37" fontId="0" fillId="0" borderId="61" xfId="0" applyNumberFormat="1" applyBorder="1" applyAlignment="1">
      <alignment horizontal="center"/>
    </xf>
    <xf numFmtId="165" fontId="14" fillId="3" borderId="14" xfId="1" applyNumberFormat="1" applyFont="1" applyFill="1" applyBorder="1" applyProtection="1">
      <protection locked="0"/>
    </xf>
    <xf numFmtId="165" fontId="0" fillId="2" borderId="14" xfId="0" applyNumberFormat="1" applyFill="1" applyBorder="1" applyProtection="1">
      <protection locked="0"/>
    </xf>
    <xf numFmtId="165" fontId="31" fillId="0" borderId="0" xfId="1" applyNumberFormat="1" applyFont="1" applyFill="1" applyBorder="1" applyProtection="1"/>
    <xf numFmtId="43" fontId="0" fillId="0" borderId="13" xfId="0" applyNumberFormat="1" applyBorder="1" applyAlignment="1">
      <alignment horizontal="center"/>
    </xf>
    <xf numFmtId="43" fontId="0" fillId="0" borderId="53" xfId="0" applyNumberFormat="1" applyBorder="1" applyAlignment="1">
      <alignment horizontal="center"/>
    </xf>
    <xf numFmtId="168" fontId="14" fillId="2" borderId="14" xfId="0" applyNumberFormat="1" applyFont="1" applyFill="1" applyBorder="1" applyAlignment="1" applyProtection="1">
      <alignment horizontal="center"/>
      <protection locked="0"/>
    </xf>
    <xf numFmtId="0" fontId="0" fillId="0" borderId="9" xfId="0" applyBorder="1" applyAlignment="1">
      <alignment horizontal="center"/>
    </xf>
    <xf numFmtId="0" fontId="0" fillId="0" borderId="0" xfId="0" applyAlignment="1">
      <alignment horizontal="left"/>
    </xf>
    <xf numFmtId="0" fontId="0" fillId="0" borderId="32" xfId="0" applyBorder="1"/>
    <xf numFmtId="165" fontId="21" fillId="0" borderId="32" xfId="1" applyNumberFormat="1" applyFont="1" applyFill="1" applyBorder="1" applyProtection="1"/>
    <xf numFmtId="0" fontId="14" fillId="0" borderId="32" xfId="0" applyFont="1" applyBorder="1"/>
    <xf numFmtId="42" fontId="17" fillId="0" borderId="32" xfId="1" applyNumberFormat="1" applyFont="1" applyFill="1" applyBorder="1" applyProtection="1"/>
    <xf numFmtId="165" fontId="0" fillId="0" borderId="14" xfId="0" applyNumberFormat="1" applyBorder="1"/>
    <xf numFmtId="165" fontId="0" fillId="0" borderId="32" xfId="0" applyNumberFormat="1" applyBorder="1"/>
    <xf numFmtId="0" fontId="17" fillId="0" borderId="0" xfId="0" applyFont="1" applyAlignment="1">
      <alignment horizontal="right"/>
    </xf>
    <xf numFmtId="42" fontId="17" fillId="0" borderId="0" xfId="1" applyNumberFormat="1" applyFont="1" applyBorder="1" applyProtection="1"/>
    <xf numFmtId="42" fontId="17" fillId="0" borderId="15" xfId="1" applyNumberFormat="1" applyFont="1" applyBorder="1" applyProtection="1"/>
    <xf numFmtId="0" fontId="18" fillId="0" borderId="22" xfId="0" applyFont="1" applyBorder="1"/>
    <xf numFmtId="10" fontId="0" fillId="0" borderId="32" xfId="0" applyNumberFormat="1" applyBorder="1" applyAlignment="1">
      <alignment horizontal="center"/>
    </xf>
    <xf numFmtId="182" fontId="0" fillId="0" borderId="14" xfId="0" applyNumberFormat="1" applyBorder="1" applyAlignment="1">
      <alignment horizontal="center"/>
    </xf>
    <xf numFmtId="0" fontId="2" fillId="0" borderId="14" xfId="0" applyFont="1" applyBorder="1" applyAlignment="1">
      <alignment horizontal="center"/>
    </xf>
    <xf numFmtId="0" fontId="6" fillId="0" borderId="0" xfId="0" applyFont="1" applyAlignment="1">
      <alignment horizontal="center"/>
    </xf>
    <xf numFmtId="16" fontId="0" fillId="2" borderId="14" xfId="0" applyNumberFormat="1" applyFill="1" applyBorder="1" applyProtection="1">
      <protection locked="0"/>
    </xf>
    <xf numFmtId="0" fontId="0" fillId="2" borderId="14" xfId="0" applyFill="1" applyBorder="1" applyProtection="1">
      <protection locked="0"/>
    </xf>
    <xf numFmtId="0" fontId="0" fillId="0" borderId="5" xfId="0" applyBorder="1" applyAlignment="1">
      <alignment horizontal="center"/>
    </xf>
    <xf numFmtId="0" fontId="0" fillId="2" borderId="27" xfId="0" applyFill="1" applyBorder="1" applyAlignment="1" applyProtection="1">
      <alignment horizontal="center"/>
      <protection locked="0"/>
    </xf>
    <xf numFmtId="0" fontId="0" fillId="2" borderId="37" xfId="0" applyFill="1" applyBorder="1" applyAlignment="1" applyProtection="1">
      <alignment horizontal="center"/>
      <protection locked="0"/>
    </xf>
    <xf numFmtId="0" fontId="0" fillId="2" borderId="30" xfId="0" applyFill="1" applyBorder="1" applyAlignment="1" applyProtection="1">
      <alignment horizontal="center"/>
      <protection locked="0"/>
    </xf>
    <xf numFmtId="0" fontId="0" fillId="2" borderId="38" xfId="0" applyFill="1" applyBorder="1" applyAlignment="1" applyProtection="1">
      <alignment horizontal="center"/>
      <protection locked="0"/>
    </xf>
    <xf numFmtId="165" fontId="0" fillId="0" borderId="31" xfId="1" applyNumberFormat="1" applyFont="1" applyFill="1" applyBorder="1" applyAlignment="1" applyProtection="1">
      <alignment vertical="center"/>
    </xf>
    <xf numFmtId="2" fontId="0" fillId="2" borderId="14" xfId="0" applyNumberFormat="1" applyFill="1" applyBorder="1" applyAlignment="1" applyProtection="1">
      <alignment horizontal="center"/>
      <protection locked="0"/>
    </xf>
    <xf numFmtId="0" fontId="2" fillId="0" borderId="15" xfId="0" applyFont="1" applyBorder="1"/>
    <xf numFmtId="0" fontId="2" fillId="0" borderId="14" xfId="0" applyFont="1" applyBorder="1" applyAlignment="1">
      <alignment horizontal="center" wrapText="1"/>
    </xf>
    <xf numFmtId="0" fontId="2" fillId="0" borderId="4" xfId="0" applyFont="1" applyBorder="1" applyAlignment="1">
      <alignment horizontal="center" wrapText="1"/>
    </xf>
    <xf numFmtId="0" fontId="2" fillId="0" borderId="36" xfId="0" applyFont="1" applyBorder="1" applyAlignment="1">
      <alignment horizontal="center" wrapText="1"/>
    </xf>
    <xf numFmtId="0" fontId="2" fillId="0" borderId="27" xfId="0" applyFont="1" applyBorder="1" applyAlignment="1">
      <alignment horizontal="center" wrapText="1"/>
    </xf>
    <xf numFmtId="0" fontId="2" fillId="0" borderId="14" xfId="0" applyFont="1" applyBorder="1" applyAlignment="1">
      <alignment horizontal="right"/>
    </xf>
    <xf numFmtId="3" fontId="2" fillId="0" borderId="14" xfId="0" applyNumberFormat="1" applyFont="1" applyBorder="1" applyAlignment="1">
      <alignment horizontal="center"/>
    </xf>
    <xf numFmtId="3" fontId="2" fillId="0" borderId="14" xfId="0" applyNumberFormat="1" applyFont="1" applyBorder="1" applyAlignment="1">
      <alignment horizontal="right"/>
    </xf>
    <xf numFmtId="2" fontId="2" fillId="0" borderId="14" xfId="0" applyNumberFormat="1" applyFont="1" applyBorder="1" applyAlignment="1">
      <alignment horizontal="center"/>
    </xf>
    <xf numFmtId="0" fontId="2" fillId="0" borderId="14" xfId="0" applyFont="1" applyBorder="1" applyAlignment="1">
      <alignment horizontal="left" indent="1"/>
    </xf>
    <xf numFmtId="0" fontId="2" fillId="0" borderId="5" xfId="0" applyFont="1" applyBorder="1"/>
    <xf numFmtId="183" fontId="2" fillId="0" borderId="0" xfId="0" applyNumberFormat="1" applyFont="1"/>
    <xf numFmtId="0" fontId="54" fillId="0" borderId="0" xfId="0" applyFont="1" applyAlignment="1">
      <alignment horizontal="center"/>
    </xf>
    <xf numFmtId="0" fontId="0" fillId="0" borderId="31" xfId="0" applyBorder="1" applyAlignment="1">
      <alignment horizontal="center" vertical="center" wrapText="1"/>
    </xf>
    <xf numFmtId="0" fontId="34" fillId="0" borderId="0" xfId="0" applyFont="1" applyAlignment="1">
      <alignment horizontal="left"/>
    </xf>
    <xf numFmtId="0" fontId="5" fillId="0" borderId="33" xfId="0" applyFont="1" applyBorder="1" applyAlignment="1">
      <alignment horizontal="center"/>
    </xf>
    <xf numFmtId="0" fontId="5" fillId="0" borderId="34" xfId="0" applyFont="1" applyBorder="1" applyAlignment="1">
      <alignment horizontal="center"/>
    </xf>
    <xf numFmtId="0" fontId="5" fillId="0" borderId="35" xfId="0" applyFont="1" applyBorder="1" applyAlignment="1">
      <alignment horizontal="center"/>
    </xf>
    <xf numFmtId="37" fontId="0" fillId="0" borderId="14" xfId="0" applyNumberFormat="1" applyBorder="1" applyAlignment="1">
      <alignment horizontal="center"/>
    </xf>
    <xf numFmtId="0" fontId="0" fillId="0" borderId="14" xfId="0" applyBorder="1" applyAlignment="1">
      <alignment horizontal="left"/>
    </xf>
    <xf numFmtId="2" fontId="0" fillId="0" borderId="14" xfId="0" applyNumberFormat="1" applyBorder="1" applyAlignment="1">
      <alignment horizontal="center"/>
    </xf>
    <xf numFmtId="44" fontId="0" fillId="0" borderId="14" xfId="0" applyNumberFormat="1" applyBorder="1"/>
    <xf numFmtId="44" fontId="5" fillId="0" borderId="14" xfId="0" applyNumberFormat="1" applyFont="1" applyBorder="1"/>
    <xf numFmtId="0" fontId="0" fillId="0" borderId="13" xfId="0" applyBorder="1" applyAlignment="1">
      <alignment horizontal="center"/>
    </xf>
    <xf numFmtId="168" fontId="0" fillId="0" borderId="4" xfId="0" applyNumberFormat="1" applyBorder="1" applyAlignment="1">
      <alignment horizontal="center"/>
    </xf>
    <xf numFmtId="168" fontId="0" fillId="0" borderId="7" xfId="0" applyNumberFormat="1" applyBorder="1" applyAlignment="1">
      <alignment horizontal="center"/>
    </xf>
    <xf numFmtId="0" fontId="2" fillId="0" borderId="0" xfId="0" applyFont="1" applyAlignment="1">
      <alignment horizontal="center" wrapText="1"/>
    </xf>
    <xf numFmtId="184" fontId="0" fillId="0" borderId="0" xfId="0" applyNumberFormat="1" applyAlignment="1">
      <alignment horizontal="center"/>
    </xf>
    <xf numFmtId="0" fontId="0" fillId="2" borderId="65" xfId="0" applyFill="1" applyBorder="1" applyAlignment="1" applyProtection="1">
      <alignment horizontal="center"/>
      <protection locked="0"/>
    </xf>
    <xf numFmtId="1" fontId="0" fillId="2" borderId="4" xfId="4" applyNumberFormat="1" applyFont="1" applyFill="1" applyBorder="1" applyAlignment="1" applyProtection="1">
      <alignment horizontal="center"/>
      <protection locked="0"/>
    </xf>
    <xf numFmtId="1" fontId="0" fillId="0" borderId="13" xfId="0" applyNumberFormat="1" applyBorder="1" applyAlignment="1">
      <alignment horizontal="center"/>
    </xf>
    <xf numFmtId="0" fontId="18" fillId="0" borderId="22" xfId="0" applyFont="1" applyBorder="1" applyAlignment="1">
      <alignment horizontal="right"/>
    </xf>
    <xf numFmtId="0" fontId="2" fillId="0" borderId="22" xfId="0" applyFont="1" applyBorder="1" applyAlignment="1">
      <alignment horizontal="right"/>
    </xf>
    <xf numFmtId="1" fontId="0" fillId="2" borderId="30" xfId="0" applyNumberFormat="1" applyFill="1" applyBorder="1" applyAlignment="1" applyProtection="1">
      <alignment horizontal="center"/>
      <protection locked="0"/>
    </xf>
    <xf numFmtId="0" fontId="50" fillId="0" borderId="0" xfId="0" applyFont="1" applyAlignment="1">
      <alignment horizontal="center" vertical="center"/>
    </xf>
    <xf numFmtId="0" fontId="50" fillId="0" borderId="0" xfId="0" applyFont="1" applyAlignment="1">
      <alignment horizontal="left" vertical="center"/>
    </xf>
    <xf numFmtId="49" fontId="20" fillId="0" borderId="0" xfId="0" applyNumberFormat="1" applyFont="1" applyAlignment="1">
      <alignment horizontal="center" wrapText="1"/>
    </xf>
    <xf numFmtId="178" fontId="20" fillId="0" borderId="0" xfId="0" applyNumberFormat="1" applyFont="1" applyAlignment="1">
      <alignment horizontal="center"/>
    </xf>
    <xf numFmtId="165" fontId="5" fillId="0" borderId="0" xfId="1" applyNumberFormat="1" applyFont="1" applyBorder="1" applyAlignment="1" applyProtection="1">
      <alignment vertical="center"/>
    </xf>
    <xf numFmtId="49" fontId="20" fillId="0" borderId="13" xfId="0" applyNumberFormat="1" applyFont="1" applyBorder="1" applyAlignment="1">
      <alignment horizontal="center" wrapText="1"/>
    </xf>
    <xf numFmtId="178" fontId="20" fillId="0" borderId="32" xfId="0" applyNumberFormat="1" applyFont="1" applyBorder="1" applyAlignment="1">
      <alignment horizontal="center"/>
    </xf>
    <xf numFmtId="0" fontId="19" fillId="0" borderId="16" xfId="0" applyFont="1" applyBorder="1" applyAlignment="1">
      <alignment horizontal="center"/>
    </xf>
    <xf numFmtId="178" fontId="20" fillId="2" borderId="32" xfId="0" applyNumberFormat="1" applyFont="1" applyFill="1" applyBorder="1" applyAlignment="1" applyProtection="1">
      <alignment horizontal="center"/>
      <protection locked="0"/>
    </xf>
    <xf numFmtId="0" fontId="2" fillId="0" borderId="15" xfId="0" applyFont="1" applyBorder="1" applyAlignment="1">
      <alignment horizontal="right"/>
    </xf>
    <xf numFmtId="0" fontId="2" fillId="0" borderId="5" xfId="0" applyFont="1" applyBorder="1" applyAlignment="1">
      <alignment horizontal="center"/>
    </xf>
    <xf numFmtId="0" fontId="0" fillId="2" borderId="14" xfId="0" applyFill="1" applyBorder="1" applyAlignment="1" applyProtection="1">
      <alignment horizontal="left"/>
      <protection locked="0"/>
    </xf>
    <xf numFmtId="0" fontId="0" fillId="0" borderId="32" xfId="0" applyBorder="1" applyAlignment="1">
      <alignment horizontal="center"/>
    </xf>
    <xf numFmtId="0" fontId="2" fillId="0" borderId="32" xfId="0" applyFont="1" applyBorder="1" applyAlignment="1">
      <alignment horizontal="center"/>
    </xf>
    <xf numFmtId="0" fontId="0" fillId="0" borderId="12" xfId="0" applyBorder="1" applyAlignment="1">
      <alignment horizontal="center"/>
    </xf>
    <xf numFmtId="0" fontId="0" fillId="0" borderId="24" xfId="0" applyBorder="1" applyAlignment="1">
      <alignment horizontal="center"/>
    </xf>
    <xf numFmtId="0" fontId="0" fillId="2" borderId="14" xfId="0" applyFill="1" applyBorder="1" applyAlignment="1" applyProtection="1">
      <alignment horizontal="center" vertical="center"/>
      <protection locked="0"/>
    </xf>
    <xf numFmtId="0" fontId="2" fillId="0" borderId="0" xfId="0" applyFont="1" applyAlignment="1">
      <alignment horizontal="center" vertical="center" wrapText="1"/>
    </xf>
    <xf numFmtId="0" fontId="0" fillId="0" borderId="44" xfId="0" applyBorder="1" applyAlignment="1">
      <alignment horizontal="center" vertical="center"/>
    </xf>
    <xf numFmtId="0" fontId="0" fillId="14" borderId="44" xfId="0" applyFill="1" applyBorder="1" applyAlignment="1">
      <alignment horizontal="center" vertical="center"/>
    </xf>
    <xf numFmtId="0" fontId="0" fillId="0" borderId="51"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3" xfId="0" applyBorder="1" applyAlignment="1">
      <alignment horizontal="center" wrapText="1"/>
    </xf>
    <xf numFmtId="0" fontId="0" fillId="0" borderId="64" xfId="0" applyBorder="1" applyAlignment="1">
      <alignment horizontal="center" wrapText="1"/>
    </xf>
    <xf numFmtId="0" fontId="2" fillId="0" borderId="56" xfId="0" applyFont="1" applyBorder="1" applyAlignment="1">
      <alignment horizontal="center"/>
    </xf>
    <xf numFmtId="0" fontId="2" fillId="0" borderId="67" xfId="0" applyFont="1" applyBorder="1" applyAlignment="1">
      <alignment horizontal="center"/>
    </xf>
    <xf numFmtId="0" fontId="2" fillId="0" borderId="68" xfId="0" applyFont="1" applyBorder="1" applyAlignment="1">
      <alignment horizontal="center"/>
    </xf>
    <xf numFmtId="0" fontId="2" fillId="0" borderId="14" xfId="0" applyFont="1" applyBorder="1" applyAlignment="1">
      <alignment horizontal="center" vertical="center" wrapText="1"/>
    </xf>
    <xf numFmtId="0" fontId="2" fillId="0" borderId="31" xfId="0" applyFont="1" applyBorder="1" applyAlignment="1">
      <alignment horizontal="center"/>
    </xf>
    <xf numFmtId="0" fontId="2" fillId="0" borderId="20" xfId="0" applyFont="1" applyBorder="1" applyAlignment="1">
      <alignment horizontal="center"/>
    </xf>
    <xf numFmtId="0" fontId="2" fillId="0" borderId="31" xfId="0" applyFont="1" applyBorder="1" applyAlignment="1">
      <alignment horizontal="center" vertical="center" wrapText="1"/>
    </xf>
    <xf numFmtId="0" fontId="0" fillId="0" borderId="21" xfId="0" applyBorder="1" applyAlignment="1">
      <alignment horizontal="center" vertical="center" wrapText="1"/>
    </xf>
    <xf numFmtId="0" fontId="0" fillId="0" borderId="21" xfId="0" applyBorder="1" applyAlignment="1">
      <alignment horizontal="center"/>
    </xf>
    <xf numFmtId="0" fontId="0" fillId="0" borderId="18" xfId="0" applyBorder="1" applyAlignment="1">
      <alignment horizontal="center"/>
    </xf>
    <xf numFmtId="0" fontId="0" fillId="0" borderId="15" xfId="0" applyBorder="1" applyAlignment="1">
      <alignment horizontal="center"/>
    </xf>
    <xf numFmtId="0" fontId="0" fillId="0" borderId="34" xfId="0" applyBorder="1" applyAlignment="1">
      <alignment horizontal="center" wrapText="1"/>
    </xf>
    <xf numFmtId="0" fontId="0" fillId="0" borderId="35" xfId="0" applyBorder="1" applyAlignment="1">
      <alignment horizontal="center" wrapText="1"/>
    </xf>
    <xf numFmtId="0" fontId="2" fillId="0" borderId="27" xfId="0" applyFont="1" applyBorder="1" applyAlignment="1">
      <alignment horizontal="center"/>
    </xf>
    <xf numFmtId="0" fontId="0" fillId="0" borderId="30" xfId="0" applyBorder="1" applyAlignment="1">
      <alignment horizontal="center"/>
    </xf>
    <xf numFmtId="0" fontId="2" fillId="0" borderId="30" xfId="0" applyFont="1" applyBorder="1" applyAlignment="1">
      <alignment horizontal="center"/>
    </xf>
    <xf numFmtId="0" fontId="2" fillId="0" borderId="38" xfId="0" applyFont="1" applyBorder="1" applyAlignment="1">
      <alignment horizontal="center"/>
    </xf>
    <xf numFmtId="0" fontId="0" fillId="0" borderId="34" xfId="0" applyBorder="1" applyAlignment="1">
      <alignment horizontal="center" vertical="center" wrapText="1"/>
    </xf>
    <xf numFmtId="0" fontId="0" fillId="0" borderId="34" xfId="0" applyBorder="1" applyAlignment="1">
      <alignment horizontal="center"/>
    </xf>
    <xf numFmtId="0" fontId="0" fillId="0" borderId="35" xfId="0" applyBorder="1" applyAlignment="1">
      <alignment horizontal="center"/>
    </xf>
    <xf numFmtId="0" fontId="2" fillId="0" borderId="30" xfId="0" applyFont="1" applyBorder="1" applyAlignment="1">
      <alignment horizontal="center" vertical="center" wrapText="1"/>
    </xf>
    <xf numFmtId="0" fontId="0" fillId="0" borderId="33" xfId="0" applyBorder="1" applyAlignment="1">
      <alignment horizontal="center"/>
    </xf>
    <xf numFmtId="0" fontId="0" fillId="0" borderId="69" xfId="0" applyBorder="1" applyAlignment="1">
      <alignment horizontal="center"/>
    </xf>
    <xf numFmtId="0" fontId="5" fillId="0" borderId="0" xfId="0" applyFont="1" applyAlignment="1">
      <alignment horizontal="center"/>
    </xf>
    <xf numFmtId="0" fontId="0" fillId="0" borderId="71" xfId="0" applyBorder="1" applyAlignment="1">
      <alignment vertical="center"/>
    </xf>
    <xf numFmtId="0" fontId="5" fillId="0" borderId="20" xfId="0" applyFont="1" applyBorder="1" applyAlignment="1">
      <alignment horizontal="center"/>
    </xf>
    <xf numFmtId="0" fontId="0" fillId="0" borderId="0" xfId="0" applyAlignment="1">
      <alignment horizontal="center" wrapText="1"/>
    </xf>
    <xf numFmtId="0" fontId="0" fillId="0" borderId="0" xfId="0" applyAlignment="1">
      <alignment horizontal="center" vertical="center"/>
    </xf>
    <xf numFmtId="0" fontId="0" fillId="0" borderId="14" xfId="0" applyBorder="1" applyAlignment="1">
      <alignment horizontal="right"/>
    </xf>
    <xf numFmtId="185" fontId="0" fillId="2" borderId="14" xfId="0" applyNumberFormat="1" applyFill="1" applyBorder="1" applyAlignment="1" applyProtection="1">
      <alignment horizontal="center"/>
      <protection locked="0"/>
    </xf>
    <xf numFmtId="0" fontId="0" fillId="0" borderId="0" xfId="0" applyAlignment="1">
      <alignment horizontal="right" indent="1"/>
    </xf>
    <xf numFmtId="173" fontId="0" fillId="0" borderId="14" xfId="0" applyNumberFormat="1" applyBorder="1" applyProtection="1">
      <protection locked="0"/>
    </xf>
    <xf numFmtId="168" fontId="0" fillId="0" borderId="14" xfId="0" applyNumberFormat="1" applyBorder="1" applyAlignment="1" applyProtection="1">
      <alignment horizontal="center"/>
      <protection locked="0"/>
    </xf>
    <xf numFmtId="173" fontId="0" fillId="0" borderId="14" xfId="0" applyNumberFormat="1" applyBorder="1" applyAlignment="1" applyProtection="1">
      <alignment horizontal="right"/>
      <protection locked="0"/>
    </xf>
    <xf numFmtId="178" fontId="18" fillId="2" borderId="5" xfId="0" applyNumberFormat="1" applyFont="1" applyFill="1" applyBorder="1" applyAlignment="1" applyProtection="1">
      <alignment horizontal="center"/>
      <protection locked="0"/>
    </xf>
    <xf numFmtId="42" fontId="0" fillId="0" borderId="14" xfId="0" applyNumberFormat="1" applyBorder="1" applyAlignment="1">
      <alignment horizontal="center"/>
    </xf>
    <xf numFmtId="42" fontId="0" fillId="0" borderId="14" xfId="0" applyNumberFormat="1" applyBorder="1"/>
    <xf numFmtId="42" fontId="0" fillId="4" borderId="14" xfId="0" applyNumberFormat="1" applyFill="1" applyBorder="1"/>
    <xf numFmtId="0" fontId="0" fillId="0" borderId="36" xfId="0" applyBorder="1" applyAlignment="1">
      <alignment horizontal="center"/>
    </xf>
    <xf numFmtId="42" fontId="0" fillId="0" borderId="27" xfId="0" applyNumberFormat="1" applyBorder="1"/>
    <xf numFmtId="0" fontId="0" fillId="4" borderId="36" xfId="0" applyFill="1" applyBorder="1" applyAlignment="1">
      <alignment horizontal="center"/>
    </xf>
    <xf numFmtId="42" fontId="0" fillId="4" borderId="27" xfId="0" applyNumberFormat="1" applyFill="1" applyBorder="1"/>
    <xf numFmtId="0" fontId="0" fillId="0" borderId="37" xfId="0" applyBorder="1" applyAlignment="1">
      <alignment horizontal="center"/>
    </xf>
    <xf numFmtId="42" fontId="0" fillId="0" borderId="30" xfId="0" applyNumberFormat="1" applyBorder="1"/>
    <xf numFmtId="42" fontId="0" fillId="0" borderId="38" xfId="0" applyNumberFormat="1" applyBorder="1"/>
    <xf numFmtId="0" fontId="5" fillId="0" borderId="16" xfId="0" applyFont="1" applyBorder="1" applyAlignment="1">
      <alignment horizontal="center"/>
    </xf>
    <xf numFmtId="0" fontId="0" fillId="0" borderId="33" xfId="0" applyBorder="1"/>
    <xf numFmtId="9" fontId="0" fillId="0" borderId="35" xfId="0" applyNumberFormat="1" applyBorder="1" applyAlignment="1">
      <alignment horizontal="center"/>
    </xf>
    <xf numFmtId="0" fontId="0" fillId="4" borderId="37" xfId="0" applyFill="1" applyBorder="1"/>
    <xf numFmtId="9" fontId="0" fillId="4" borderId="38" xfId="0" applyNumberFormat="1" applyFill="1" applyBorder="1" applyAlignment="1">
      <alignment horizontal="center"/>
    </xf>
    <xf numFmtId="44" fontId="0" fillId="2" borderId="14" xfId="1" applyFont="1" applyFill="1" applyBorder="1" applyProtection="1">
      <protection locked="0"/>
    </xf>
    <xf numFmtId="44" fontId="0" fillId="3" borderId="14" xfId="1" applyFont="1" applyFill="1" applyBorder="1" applyProtection="1">
      <protection locked="0"/>
    </xf>
    <xf numFmtId="44" fontId="5" fillId="0" borderId="38" xfId="0" applyNumberFormat="1" applyFont="1" applyBorder="1"/>
    <xf numFmtId="44" fontId="0" fillId="0" borderId="27" xfId="1" applyFont="1" applyFill="1" applyBorder="1" applyAlignment="1" applyProtection="1">
      <alignment horizontal="center" vertical="center"/>
    </xf>
    <xf numFmtId="44" fontId="0" fillId="2" borderId="27" xfId="1" applyFont="1" applyFill="1" applyBorder="1" applyAlignment="1" applyProtection="1">
      <alignment horizontal="center" vertical="center"/>
      <protection locked="0"/>
    </xf>
    <xf numFmtId="44" fontId="2" fillId="0" borderId="38" xfId="1" applyFont="1" applyFill="1" applyBorder="1" applyAlignment="1" applyProtection="1">
      <alignment horizontal="center" vertical="center"/>
    </xf>
    <xf numFmtId="3" fontId="5" fillId="0" borderId="23" xfId="0" applyNumberFormat="1" applyFont="1" applyBorder="1" applyAlignment="1">
      <alignment horizontal="right"/>
    </xf>
    <xf numFmtId="3" fontId="0" fillId="2" borderId="14" xfId="0" applyNumberFormat="1" applyFill="1" applyBorder="1" applyAlignment="1" applyProtection="1">
      <alignment horizontal="center"/>
      <protection locked="0"/>
    </xf>
    <xf numFmtId="3" fontId="0" fillId="2" borderId="27" xfId="0" applyNumberFormat="1" applyFill="1" applyBorder="1" applyAlignment="1" applyProtection="1">
      <alignment horizontal="center"/>
      <protection locked="0"/>
    </xf>
    <xf numFmtId="0" fontId="2" fillId="0" borderId="31" xfId="0" applyFont="1" applyBorder="1" applyAlignment="1">
      <alignment horizontal="left"/>
    </xf>
    <xf numFmtId="0" fontId="61" fillId="0" borderId="7" xfId="0" applyFont="1" applyBorder="1" applyAlignment="1">
      <alignment horizontal="center" vertical="center"/>
    </xf>
    <xf numFmtId="0" fontId="20" fillId="0" borderId="9" xfId="0" applyFont="1" applyBorder="1"/>
    <xf numFmtId="10" fontId="0" fillId="0" borderId="0" xfId="2" applyNumberFormat="1" applyFont="1" applyBorder="1" applyAlignment="1" applyProtection="1">
      <alignment horizontal="center" vertical="center"/>
    </xf>
    <xf numFmtId="0" fontId="0" fillId="0" borderId="0" xfId="0" applyAlignment="1" applyProtection="1">
      <alignment horizontal="right" indent="1"/>
      <protection locked="0"/>
    </xf>
    <xf numFmtId="0" fontId="5" fillId="0" borderId="15" xfId="0" applyFont="1" applyBorder="1" applyAlignment="1">
      <alignment horizontal="right"/>
    </xf>
    <xf numFmtId="0" fontId="0" fillId="2" borderId="53" xfId="0" applyFill="1" applyBorder="1" applyAlignment="1" applyProtection="1">
      <alignment horizontal="center"/>
      <protection locked="0"/>
    </xf>
    <xf numFmtId="44" fontId="0" fillId="2" borderId="14" xfId="0" applyNumberFormat="1" applyFill="1" applyBorder="1" applyAlignment="1" applyProtection="1">
      <alignment horizontal="left"/>
      <protection locked="0"/>
    </xf>
    <xf numFmtId="182" fontId="14" fillId="2" borderId="14" xfId="0" applyNumberFormat="1" applyFont="1" applyFill="1" applyBorder="1" applyAlignment="1" applyProtection="1">
      <alignment horizontal="center"/>
      <protection locked="0"/>
    </xf>
    <xf numFmtId="3" fontId="5" fillId="0" borderId="15" xfId="0" applyNumberFormat="1" applyFont="1" applyBorder="1" applyAlignment="1">
      <alignment horizontal="center"/>
    </xf>
    <xf numFmtId="0" fontId="0" fillId="0" borderId="15" xfId="0" applyBorder="1" applyAlignment="1">
      <alignment horizontal="left" indent="1"/>
    </xf>
    <xf numFmtId="0" fontId="18" fillId="0" borderId="57" xfId="0" applyFont="1" applyBorder="1" applyAlignment="1">
      <alignment horizontal="right"/>
    </xf>
    <xf numFmtId="0" fontId="18" fillId="0" borderId="15" xfId="0" applyFont="1" applyBorder="1" applyAlignment="1">
      <alignment horizontal="right"/>
    </xf>
    <xf numFmtId="0" fontId="2" fillId="0" borderId="0" xfId="0" applyFont="1" applyAlignment="1">
      <alignment vertical="center"/>
    </xf>
    <xf numFmtId="0" fontId="0" fillId="0" borderId="22" xfId="0" applyBorder="1" applyAlignment="1">
      <alignment horizontal="right" indent="1"/>
    </xf>
    <xf numFmtId="182" fontId="0" fillId="0" borderId="24" xfId="0" applyNumberFormat="1" applyBorder="1" applyAlignment="1">
      <alignment horizontal="center"/>
    </xf>
    <xf numFmtId="179" fontId="0" fillId="0" borderId="14" xfId="0" applyNumberFormat="1" applyBorder="1" applyAlignment="1">
      <alignment horizontal="center"/>
    </xf>
    <xf numFmtId="179" fontId="0" fillId="0" borderId="24" xfId="0" applyNumberFormat="1" applyBorder="1" applyAlignment="1">
      <alignment horizontal="center"/>
    </xf>
    <xf numFmtId="10" fontId="0" fillId="0" borderId="24" xfId="0" applyNumberFormat="1" applyBorder="1" applyAlignment="1">
      <alignment horizontal="center"/>
    </xf>
    <xf numFmtId="0" fontId="0" fillId="0" borderId="29" xfId="0" applyBorder="1"/>
    <xf numFmtId="0" fontId="2" fillId="0" borderId="48" xfId="0" applyFont="1" applyBorder="1" applyAlignment="1">
      <alignment horizontal="right" indent="1"/>
    </xf>
    <xf numFmtId="0" fontId="0" fillId="0" borderId="15" xfId="0" applyBorder="1"/>
    <xf numFmtId="0" fontId="0" fillId="0" borderId="52" xfId="0" applyBorder="1"/>
    <xf numFmtId="0" fontId="0" fillId="0" borderId="1" xfId="0" applyBorder="1"/>
    <xf numFmtId="0" fontId="2" fillId="0" borderId="73" xfId="0" applyFont="1" applyBorder="1" applyAlignment="1">
      <alignment horizontal="right" indent="1"/>
    </xf>
    <xf numFmtId="0" fontId="2" fillId="0" borderId="0" xfId="0" applyFont="1" applyAlignment="1">
      <alignment horizontal="center" vertical="center"/>
    </xf>
    <xf numFmtId="0" fontId="38" fillId="0" borderId="0" xfId="0" applyFont="1"/>
    <xf numFmtId="0" fontId="2" fillId="0" borderId="23" xfId="0" applyFont="1" applyBorder="1" applyAlignment="1">
      <alignment horizontal="center" vertical="center"/>
    </xf>
    <xf numFmtId="0" fontId="18" fillId="0" borderId="37" xfId="0" applyFont="1" applyBorder="1" applyAlignment="1">
      <alignment horizontal="right"/>
    </xf>
    <xf numFmtId="0" fontId="8" fillId="0" borderId="0" xfId="3" applyAlignment="1" applyProtection="1"/>
    <xf numFmtId="0" fontId="14" fillId="0" borderId="14" xfId="0" applyFont="1" applyBorder="1" applyAlignment="1">
      <alignment horizontal="center"/>
    </xf>
    <xf numFmtId="0" fontId="2" fillId="0" borderId="21" xfId="0" applyFont="1" applyBorder="1" applyAlignment="1">
      <alignment horizontal="center"/>
    </xf>
    <xf numFmtId="0" fontId="5" fillId="0" borderId="74" xfId="0" applyFont="1" applyBorder="1" applyAlignment="1">
      <alignment horizontal="center"/>
    </xf>
    <xf numFmtId="10" fontId="2" fillId="11" borderId="30" xfId="2" applyNumberFormat="1" applyFont="1" applyFill="1" applyBorder="1" applyAlignment="1" applyProtection="1">
      <alignment horizontal="center"/>
    </xf>
    <xf numFmtId="9" fontId="14" fillId="0" borderId="30" xfId="2" applyFont="1" applyBorder="1" applyAlignment="1" applyProtection="1">
      <alignment horizontal="center"/>
    </xf>
    <xf numFmtId="9" fontId="14" fillId="0" borderId="38" xfId="0" applyNumberFormat="1" applyFont="1" applyBorder="1" applyAlignment="1">
      <alignment horizontal="center"/>
    </xf>
    <xf numFmtId="0" fontId="14" fillId="0" borderId="16" xfId="0" applyFont="1" applyBorder="1" applyAlignment="1">
      <alignment horizontal="center" vertical="center" wrapText="1"/>
    </xf>
    <xf numFmtId="0" fontId="0" fillId="2" borderId="0" xfId="0" applyFill="1" applyProtection="1">
      <protection locked="0"/>
    </xf>
    <xf numFmtId="0" fontId="0" fillId="2" borderId="0" xfId="0" applyFill="1" applyAlignment="1" applyProtection="1">
      <alignment horizontal="center"/>
      <protection locked="0"/>
    </xf>
    <xf numFmtId="10" fontId="0" fillId="0" borderId="14" xfId="2" applyNumberFormat="1" applyFont="1" applyBorder="1" applyAlignment="1" applyProtection="1">
      <alignment horizontal="center"/>
    </xf>
    <xf numFmtId="10" fontId="0" fillId="0" borderId="12" xfId="2" applyNumberFormat="1" applyFont="1" applyBorder="1" applyAlignment="1" applyProtection="1">
      <alignment horizontal="center"/>
    </xf>
    <xf numFmtId="9" fontId="0" fillId="0" borderId="14" xfId="0" applyNumberFormat="1" applyBorder="1" applyAlignment="1">
      <alignment horizontal="center" vertical="center"/>
    </xf>
    <xf numFmtId="165" fontId="0" fillId="12" borderId="14" xfId="0" applyNumberFormat="1" applyFill="1" applyBorder="1"/>
    <xf numFmtId="0" fontId="0" fillId="0" borderId="14" xfId="0" applyBorder="1" applyAlignment="1">
      <alignment horizontal="right" vertical="center" wrapText="1"/>
    </xf>
    <xf numFmtId="165" fontId="0" fillId="0" borderId="14" xfId="1" applyNumberFormat="1" applyFont="1" applyFill="1" applyBorder="1" applyAlignment="1" applyProtection="1"/>
    <xf numFmtId="165" fontId="0" fillId="0" borderId="0" xfId="1" applyNumberFormat="1" applyFont="1" applyFill="1" applyBorder="1" applyAlignment="1" applyProtection="1"/>
    <xf numFmtId="165" fontId="31" fillId="0" borderId="17" xfId="1" applyNumberFormat="1" applyFont="1" applyBorder="1" applyProtection="1"/>
    <xf numFmtId="165" fontId="31" fillId="0" borderId="22" xfId="1" applyNumberFormat="1" applyFont="1" applyBorder="1" applyProtection="1"/>
    <xf numFmtId="172" fontId="0" fillId="0" borderId="18" xfId="2" applyNumberFormat="1" applyFont="1" applyBorder="1" applyAlignment="1" applyProtection="1">
      <alignment horizontal="center"/>
    </xf>
    <xf numFmtId="165" fontId="31" fillId="0" borderId="19" xfId="1" applyNumberFormat="1" applyFont="1" applyBorder="1" applyProtection="1"/>
    <xf numFmtId="49" fontId="0" fillId="2" borderId="5" xfId="2" applyNumberFormat="1" applyFont="1" applyFill="1" applyBorder="1" applyAlignment="1" applyProtection="1">
      <alignment horizontal="center"/>
      <protection locked="0"/>
    </xf>
    <xf numFmtId="49" fontId="14" fillId="2" borderId="5" xfId="2" applyNumberFormat="1" applyFont="1" applyFill="1" applyBorder="1" applyAlignment="1" applyProtection="1">
      <alignment horizontal="center"/>
      <protection locked="0"/>
    </xf>
    <xf numFmtId="0" fontId="50" fillId="0" borderId="0" xfId="0" applyFont="1"/>
    <xf numFmtId="1" fontId="0" fillId="0" borderId="0" xfId="0" applyNumberFormat="1" applyAlignment="1" applyProtection="1">
      <alignment vertical="center"/>
      <protection locked="0"/>
    </xf>
    <xf numFmtId="1" fontId="0" fillId="0" borderId="0" xfId="0" applyNumberFormat="1" applyAlignment="1">
      <alignment vertical="center"/>
    </xf>
    <xf numFmtId="165" fontId="0" fillId="0" borderId="31" xfId="1" applyNumberFormat="1" applyFont="1" applyBorder="1" applyProtection="1"/>
    <xf numFmtId="49" fontId="0" fillId="0" borderId="0" xfId="0" applyNumberFormat="1" applyAlignment="1" applyProtection="1">
      <alignment vertical="center" wrapText="1"/>
      <protection locked="0"/>
    </xf>
    <xf numFmtId="44" fontId="14" fillId="2" borderId="74" xfId="0" applyNumberFormat="1" applyFont="1" applyFill="1" applyBorder="1" applyAlignment="1" applyProtection="1">
      <alignment horizontal="center"/>
      <protection locked="0"/>
    </xf>
    <xf numFmtId="1" fontId="0" fillId="0" borderId="7" xfId="0" applyNumberFormat="1" applyBorder="1" applyAlignment="1">
      <alignment horizontal="center"/>
    </xf>
    <xf numFmtId="1" fontId="0" fillId="0" borderId="5" xfId="0" applyNumberFormat="1" applyBorder="1" applyAlignment="1">
      <alignment horizontal="center"/>
    </xf>
    <xf numFmtId="185" fontId="61" fillId="2" borderId="5" xfId="0" applyNumberFormat="1" applyFont="1" applyFill="1" applyBorder="1" applyAlignment="1" applyProtection="1">
      <alignment horizontal="center"/>
      <protection locked="0"/>
    </xf>
    <xf numFmtId="185" fontId="0" fillId="2" borderId="0" xfId="0" applyNumberFormat="1" applyFill="1" applyAlignment="1" applyProtection="1">
      <alignment horizontal="center"/>
      <protection locked="0"/>
    </xf>
    <xf numFmtId="1" fontId="0" fillId="0" borderId="19" xfId="0" applyNumberFormat="1" applyBorder="1" applyAlignment="1">
      <alignment horizontal="center"/>
    </xf>
    <xf numFmtId="0" fontId="2" fillId="0" borderId="0" xfId="0" applyFont="1" applyAlignment="1">
      <alignment vertical="center" wrapText="1"/>
    </xf>
    <xf numFmtId="0" fontId="5" fillId="0" borderId="0" xfId="0" applyFont="1"/>
    <xf numFmtId="42" fontId="0" fillId="0" borderId="0" xfId="0" applyNumberFormat="1"/>
    <xf numFmtId="0" fontId="0" fillId="0" borderId="19" xfId="0" applyBorder="1"/>
    <xf numFmtId="0" fontId="5" fillId="0" borderId="36" xfId="0" applyFont="1" applyBorder="1" applyAlignment="1">
      <alignment horizontal="center"/>
    </xf>
    <xf numFmtId="3" fontId="0" fillId="0" borderId="14" xfId="0" applyNumberFormat="1" applyBorder="1"/>
    <xf numFmtId="0" fontId="0" fillId="15" borderId="14" xfId="0" applyFill="1" applyBorder="1" applyAlignment="1">
      <alignment horizontal="center"/>
    </xf>
    <xf numFmtId="3" fontId="0" fillId="15" borderId="14" xfId="0" applyNumberFormat="1" applyFill="1" applyBorder="1"/>
    <xf numFmtId="49" fontId="18" fillId="2" borderId="0" xfId="0" applyNumberFormat="1" applyFont="1" applyFill="1" applyAlignment="1" applyProtection="1">
      <alignment horizontal="center"/>
      <protection locked="0"/>
    </xf>
    <xf numFmtId="10" fontId="0" fillId="0" borderId="23" xfId="0" applyNumberFormat="1" applyBorder="1" applyAlignment="1">
      <alignment horizontal="center"/>
    </xf>
    <xf numFmtId="10" fontId="0" fillId="0" borderId="20" xfId="0" applyNumberFormat="1" applyBorder="1" applyAlignment="1">
      <alignment horizontal="center"/>
    </xf>
    <xf numFmtId="0" fontId="14" fillId="2" borderId="5" xfId="0" applyFont="1" applyFill="1" applyBorder="1" applyAlignment="1" applyProtection="1">
      <alignment horizontal="center"/>
      <protection locked="0"/>
    </xf>
    <xf numFmtId="0" fontId="0" fillId="2" borderId="5" xfId="0" applyFill="1" applyBorder="1" applyAlignment="1" applyProtection="1">
      <alignment horizontal="center"/>
      <protection locked="0"/>
    </xf>
    <xf numFmtId="49" fontId="0" fillId="2" borderId="5" xfId="0" applyNumberFormat="1" applyFill="1" applyBorder="1" applyAlignment="1" applyProtection="1">
      <alignment horizontal="center"/>
      <protection locked="0"/>
    </xf>
    <xf numFmtId="49" fontId="14" fillId="2" borderId="5" xfId="0" applyNumberFormat="1" applyFont="1" applyFill="1" applyBorder="1" applyAlignment="1" applyProtection="1">
      <alignment horizontal="center"/>
      <protection locked="0"/>
    </xf>
    <xf numFmtId="10" fontId="14" fillId="2" borderId="5" xfId="2" applyNumberFormat="1" applyFont="1" applyFill="1" applyBorder="1" applyAlignment="1" applyProtection="1">
      <alignment horizontal="center"/>
      <protection locked="0"/>
    </xf>
    <xf numFmtId="168" fontId="0" fillId="0" borderId="0" xfId="0" applyNumberFormat="1" applyAlignment="1">
      <alignment horizontal="center" vertical="center"/>
    </xf>
    <xf numFmtId="49" fontId="14" fillId="0" borderId="0" xfId="0" applyNumberFormat="1" applyFont="1" applyAlignment="1">
      <alignment horizontal="justify" vertical="center" wrapText="1"/>
    </xf>
    <xf numFmtId="49" fontId="0" fillId="0" borderId="0" xfId="0" applyNumberFormat="1" applyAlignment="1">
      <alignment horizontal="justify" vertical="center"/>
    </xf>
    <xf numFmtId="0" fontId="11" fillId="0" borderId="0" xfId="0" applyFont="1" applyAlignment="1">
      <alignment horizontal="center" vertical="center"/>
    </xf>
    <xf numFmtId="0" fontId="0" fillId="0" borderId="0" xfId="0"/>
    <xf numFmtId="0" fontId="12" fillId="0" borderId="0" xfId="0" applyFont="1" applyAlignment="1">
      <alignment horizontal="center"/>
    </xf>
    <xf numFmtId="0" fontId="0" fillId="0" borderId="0" xfId="0" applyAlignment="1">
      <alignment horizontal="center"/>
    </xf>
    <xf numFmtId="49" fontId="14" fillId="0" borderId="0" xfId="0" applyNumberFormat="1" applyFont="1" applyAlignment="1">
      <alignment horizontal="justify" vertical="top" wrapText="1"/>
    </xf>
    <xf numFmtId="49" fontId="0" fillId="0" borderId="0" xfId="0" applyNumberFormat="1" applyAlignment="1">
      <alignment horizontal="justify"/>
    </xf>
    <xf numFmtId="49" fontId="14" fillId="0" borderId="0" xfId="0" applyNumberFormat="1" applyFont="1" applyAlignment="1">
      <alignment horizontal="left" vertical="center" wrapText="1" indent="1"/>
    </xf>
    <xf numFmtId="0" fontId="2" fillId="0" borderId="11" xfId="0" applyFont="1" applyBorder="1" applyAlignment="1">
      <alignment horizontal="center"/>
    </xf>
    <xf numFmtId="0" fontId="2" fillId="0" borderId="15" xfId="0" applyFont="1" applyBorder="1" applyAlignment="1">
      <alignment horizontal="center"/>
    </xf>
    <xf numFmtId="0" fontId="2" fillId="0" borderId="52" xfId="0" applyFont="1" applyBorder="1" applyAlignment="1">
      <alignment horizontal="center"/>
    </xf>
    <xf numFmtId="0" fontId="2" fillId="0" borderId="14" xfId="0" applyFont="1" applyBorder="1" applyAlignment="1">
      <alignment horizontal="center"/>
    </xf>
    <xf numFmtId="49" fontId="0" fillId="0" borderId="14" xfId="0" applyNumberFormat="1" applyBorder="1" applyAlignment="1">
      <alignment horizontal="center"/>
    </xf>
    <xf numFmtId="49" fontId="0" fillId="0" borderId="4" xfId="0" applyNumberFormat="1" applyBorder="1" applyAlignment="1">
      <alignment horizontal="right" indent="1"/>
    </xf>
    <xf numFmtId="49" fontId="0" fillId="0" borderId="7" xfId="0" applyNumberFormat="1" applyBorder="1" applyAlignment="1">
      <alignment horizontal="right" indent="1"/>
    </xf>
    <xf numFmtId="49" fontId="0" fillId="0" borderId="5" xfId="0" applyNumberFormat="1" applyBorder="1" applyAlignment="1">
      <alignment horizontal="right" indent="1"/>
    </xf>
    <xf numFmtId="49" fontId="0" fillId="0" borderId="14" xfId="0" applyNumberFormat="1" applyBorder="1" applyAlignment="1">
      <alignment horizontal="right" indent="1"/>
    </xf>
    <xf numFmtId="0" fontId="0" fillId="0" borderId="4" xfId="0" applyBorder="1" applyAlignment="1">
      <alignment horizontal="right" indent="1"/>
    </xf>
    <xf numFmtId="0" fontId="0" fillId="0" borderId="7" xfId="0" applyBorder="1" applyAlignment="1">
      <alignment horizontal="right" indent="1"/>
    </xf>
    <xf numFmtId="0" fontId="0" fillId="0" borderId="5" xfId="0" applyBorder="1" applyAlignment="1">
      <alignment horizontal="right" indent="1"/>
    </xf>
    <xf numFmtId="0" fontId="2" fillId="0" borderId="6" xfId="0" applyFont="1" applyBorder="1" applyAlignment="1">
      <alignment horizontal="right"/>
    </xf>
    <xf numFmtId="0" fontId="2" fillId="0" borderId="0" xfId="0" applyFont="1" applyAlignment="1">
      <alignment horizontal="right"/>
    </xf>
    <xf numFmtId="0" fontId="2" fillId="0" borderId="24" xfId="0" applyFont="1" applyBorder="1" applyAlignment="1">
      <alignment horizontal="right"/>
    </xf>
    <xf numFmtId="0" fontId="2" fillId="0" borderId="17" xfId="0" applyFont="1" applyBorder="1" applyAlignment="1">
      <alignment horizontal="center"/>
    </xf>
    <xf numFmtId="0" fontId="2" fillId="0" borderId="21" xfId="0" applyFont="1" applyBorder="1" applyAlignment="1">
      <alignment horizontal="center"/>
    </xf>
    <xf numFmtId="0" fontId="2" fillId="0" borderId="18" xfId="0" applyFont="1"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5" fillId="0" borderId="14" xfId="0" applyFont="1" applyBorder="1" applyAlignment="1">
      <alignment horizontal="right"/>
    </xf>
    <xf numFmtId="0" fontId="0" fillId="0" borderId="36" xfId="0" applyBorder="1" applyAlignment="1">
      <alignment horizontal="right" indent="1"/>
    </xf>
    <xf numFmtId="0" fontId="0" fillId="0" borderId="14" xfId="0" applyBorder="1" applyAlignment="1">
      <alignment horizontal="right" indent="1"/>
    </xf>
    <xf numFmtId="0" fontId="2" fillId="0" borderId="22" xfId="0" applyFont="1" applyBorder="1" applyAlignment="1">
      <alignment horizontal="right"/>
    </xf>
    <xf numFmtId="0" fontId="18" fillId="0" borderId="22" xfId="0" applyFont="1" applyBorder="1" applyAlignment="1">
      <alignment horizontal="right"/>
    </xf>
    <xf numFmtId="0" fontId="18" fillId="0" borderId="0" xfId="0" applyFont="1" applyAlignment="1">
      <alignment horizontal="right"/>
    </xf>
    <xf numFmtId="0" fontId="0" fillId="0" borderId="0" xfId="0" applyAlignment="1">
      <alignment horizontal="right" indent="1"/>
    </xf>
    <xf numFmtId="0" fontId="2" fillId="0" borderId="2" xfId="0" applyFont="1" applyBorder="1" applyAlignment="1">
      <alignment horizontal="left" indent="1"/>
    </xf>
    <xf numFmtId="0" fontId="2" fillId="0" borderId="3" xfId="0" applyFont="1" applyBorder="1" applyAlignment="1">
      <alignment horizontal="left" indent="1"/>
    </xf>
    <xf numFmtId="0" fontId="20" fillId="0" borderId="0" xfId="0" applyFont="1"/>
    <xf numFmtId="1" fontId="0" fillId="2" borderId="14" xfId="0" applyNumberFormat="1" applyFill="1" applyBorder="1" applyAlignment="1" applyProtection="1">
      <alignment horizontal="center"/>
      <protection locked="0"/>
    </xf>
    <xf numFmtId="0" fontId="2" fillId="0" borderId="1" xfId="0" applyFont="1" applyBorder="1" applyAlignment="1">
      <alignment horizontal="right"/>
    </xf>
    <xf numFmtId="0" fontId="2" fillId="0" borderId="2" xfId="0" applyFont="1" applyBorder="1" applyAlignment="1">
      <alignment horizontal="right"/>
    </xf>
    <xf numFmtId="1" fontId="0" fillId="2" borderId="30" xfId="0" applyNumberFormat="1" applyFill="1" applyBorder="1" applyAlignment="1" applyProtection="1">
      <alignment horizontal="center"/>
      <protection locked="0"/>
    </xf>
    <xf numFmtId="0" fontId="0" fillId="0" borderId="24" xfId="0" applyBorder="1" applyAlignment="1">
      <alignment horizontal="right" indent="1"/>
    </xf>
    <xf numFmtId="44" fontId="0" fillId="2" borderId="4" xfId="0" applyNumberFormat="1" applyFill="1" applyBorder="1" applyProtection="1">
      <protection locked="0"/>
    </xf>
    <xf numFmtId="44" fontId="0" fillId="2" borderId="5" xfId="0" applyNumberFormat="1" applyFill="1" applyBorder="1" applyProtection="1">
      <protection locked="0"/>
    </xf>
    <xf numFmtId="0" fontId="0" fillId="0" borderId="37" xfId="0" applyBorder="1" applyAlignment="1">
      <alignment horizontal="right" indent="1"/>
    </xf>
    <xf numFmtId="0" fontId="0" fillId="0" borderId="30" xfId="0" applyBorder="1" applyAlignment="1">
      <alignment horizontal="right" indent="1"/>
    </xf>
    <xf numFmtId="0" fontId="18" fillId="0" borderId="24" xfId="0" applyFont="1" applyBorder="1" applyAlignment="1">
      <alignment horizontal="right"/>
    </xf>
    <xf numFmtId="0" fontId="18" fillId="3" borderId="4" xfId="0" applyFont="1" applyFill="1" applyBorder="1" applyAlignment="1" applyProtection="1">
      <alignment horizontal="left" indent="1"/>
      <protection locked="0"/>
    </xf>
    <xf numFmtId="0" fontId="18" fillId="3" borderId="7" xfId="0" applyFont="1" applyFill="1" applyBorder="1" applyAlignment="1" applyProtection="1">
      <alignment horizontal="left" indent="1"/>
      <protection locked="0"/>
    </xf>
    <xf numFmtId="0" fontId="18" fillId="3" borderId="5" xfId="0" applyFont="1" applyFill="1" applyBorder="1" applyAlignment="1" applyProtection="1">
      <alignment horizontal="left" indent="1"/>
      <protection locked="0"/>
    </xf>
    <xf numFmtId="0" fontId="49" fillId="0" borderId="6" xfId="3" applyFont="1" applyBorder="1" applyAlignment="1">
      <alignment horizontal="right"/>
    </xf>
    <xf numFmtId="0" fontId="49" fillId="0" borderId="0" xfId="3" applyFont="1" applyAlignment="1">
      <alignment horizontal="right"/>
    </xf>
    <xf numFmtId="0" fontId="49" fillId="0" borderId="24" xfId="3" applyFont="1" applyBorder="1" applyAlignment="1">
      <alignment horizontal="right"/>
    </xf>
    <xf numFmtId="0" fontId="18" fillId="2" borderId="4" xfId="0" applyFont="1" applyFill="1" applyBorder="1" applyAlignment="1" applyProtection="1">
      <alignment horizontal="left" indent="1"/>
      <protection locked="0"/>
    </xf>
    <xf numFmtId="0" fontId="18" fillId="2" borderId="7" xfId="0" applyFont="1" applyFill="1" applyBorder="1" applyAlignment="1" applyProtection="1">
      <alignment horizontal="left" indent="1"/>
      <protection locked="0"/>
    </xf>
    <xf numFmtId="0" fontId="18" fillId="2" borderId="5" xfId="0" applyFont="1" applyFill="1" applyBorder="1" applyAlignment="1" applyProtection="1">
      <alignment horizontal="left" indent="1"/>
      <protection locked="0"/>
    </xf>
    <xf numFmtId="0" fontId="18" fillId="3" borderId="8" xfId="0" applyFont="1" applyFill="1" applyBorder="1" applyAlignment="1" applyProtection="1">
      <alignment horizontal="left" indent="1"/>
      <protection locked="0"/>
    </xf>
    <xf numFmtId="0" fontId="18" fillId="3" borderId="9" xfId="0" applyFont="1" applyFill="1" applyBorder="1" applyAlignment="1" applyProtection="1">
      <alignment horizontal="left" indent="1"/>
      <protection locked="0"/>
    </xf>
    <xf numFmtId="0" fontId="18" fillId="3" borderId="0" xfId="0" applyFont="1" applyFill="1" applyAlignment="1" applyProtection="1">
      <alignment horizontal="left" indent="1"/>
      <protection locked="0"/>
    </xf>
    <xf numFmtId="0" fontId="18" fillId="3" borderId="24" xfId="0" applyFont="1" applyFill="1" applyBorder="1" applyAlignment="1" applyProtection="1">
      <alignment horizontal="left" indent="1"/>
      <protection locked="0"/>
    </xf>
    <xf numFmtId="0" fontId="18" fillId="0" borderId="6" xfId="0" applyFont="1" applyBorder="1" applyAlignment="1">
      <alignment horizontal="right"/>
    </xf>
    <xf numFmtId="0" fontId="0" fillId="2" borderId="4" xfId="0" applyFill="1" applyBorder="1" applyAlignment="1" applyProtection="1">
      <alignment horizontal="left" indent="1"/>
      <protection locked="0"/>
    </xf>
    <xf numFmtId="0" fontId="0" fillId="2" borderId="7" xfId="0" applyFill="1" applyBorder="1" applyAlignment="1" applyProtection="1">
      <alignment horizontal="left" indent="1"/>
      <protection locked="0"/>
    </xf>
    <xf numFmtId="0" fontId="0" fillId="2" borderId="5" xfId="0" applyFill="1" applyBorder="1" applyAlignment="1" applyProtection="1">
      <alignment horizontal="left" indent="1"/>
      <protection locked="0"/>
    </xf>
    <xf numFmtId="0" fontId="2" fillId="0" borderId="49" xfId="0" applyFont="1" applyBorder="1" applyAlignment="1">
      <alignment horizontal="center"/>
    </xf>
    <xf numFmtId="0" fontId="2" fillId="0" borderId="47" xfId="0" applyFont="1" applyBorder="1" applyAlignment="1">
      <alignment horizontal="center"/>
    </xf>
    <xf numFmtId="0" fontId="18" fillId="0" borderId="41" xfId="0" applyFont="1" applyBorder="1" applyAlignment="1">
      <alignment horizontal="center"/>
    </xf>
    <xf numFmtId="0" fontId="18" fillId="0" borderId="47" xfId="0" applyFont="1" applyBorder="1" applyAlignment="1">
      <alignment horizontal="center"/>
    </xf>
    <xf numFmtId="9" fontId="0" fillId="0" borderId="14" xfId="0" applyNumberFormat="1" applyBorder="1" applyAlignment="1">
      <alignment horizontal="center"/>
    </xf>
    <xf numFmtId="0" fontId="5" fillId="0" borderId="15" xfId="0" applyFont="1" applyBorder="1" applyAlignment="1">
      <alignment horizontal="right"/>
    </xf>
    <xf numFmtId="0" fontId="5" fillId="0" borderId="12" xfId="0" applyFont="1" applyBorder="1" applyAlignment="1">
      <alignment horizontal="right"/>
    </xf>
    <xf numFmtId="0" fontId="5" fillId="0" borderId="4" xfId="0" applyFont="1" applyBorder="1" applyAlignment="1">
      <alignment horizontal="right"/>
    </xf>
    <xf numFmtId="0" fontId="5" fillId="0" borderId="7" xfId="0" applyFont="1" applyBorder="1" applyAlignment="1">
      <alignment horizontal="right"/>
    </xf>
    <xf numFmtId="0" fontId="5" fillId="0" borderId="5" xfId="0" applyFont="1" applyBorder="1" applyAlignment="1">
      <alignment horizontal="right"/>
    </xf>
    <xf numFmtId="0" fontId="0" fillId="0" borderId="4" xfId="0" applyBorder="1" applyAlignment="1">
      <alignment horizontal="left" indent="1"/>
    </xf>
    <xf numFmtId="0" fontId="0" fillId="0" borderId="7" xfId="0" applyBorder="1" applyAlignment="1">
      <alignment horizontal="left" indent="1"/>
    </xf>
    <xf numFmtId="0" fontId="0" fillId="0" borderId="5" xfId="0" applyBorder="1" applyAlignment="1">
      <alignment horizontal="left" indent="1"/>
    </xf>
    <xf numFmtId="0" fontId="0" fillId="0" borderId="26" xfId="0" applyBorder="1" applyAlignment="1">
      <alignment horizontal="center"/>
    </xf>
    <xf numFmtId="0" fontId="0" fillId="0" borderId="5" xfId="0" applyBorder="1" applyAlignment="1">
      <alignment horizontal="center"/>
    </xf>
    <xf numFmtId="168" fontId="0" fillId="0" borderId="14" xfId="0" applyNumberFormat="1" applyBorder="1" applyAlignment="1">
      <alignment horizontal="center" vertical="center"/>
    </xf>
    <xf numFmtId="0" fontId="18" fillId="13" borderId="1" xfId="0" applyFont="1" applyFill="1" applyBorder="1" applyAlignment="1">
      <alignment horizontal="center"/>
    </xf>
    <xf numFmtId="0" fontId="18" fillId="13" borderId="2" xfId="0" applyFont="1" applyFill="1" applyBorder="1" applyAlignment="1">
      <alignment horizontal="center"/>
    </xf>
    <xf numFmtId="10" fontId="2" fillId="13" borderId="2" xfId="0" applyNumberFormat="1" applyFont="1" applyFill="1" applyBorder="1" applyAlignment="1">
      <alignment horizontal="center"/>
    </xf>
    <xf numFmtId="0" fontId="2" fillId="13" borderId="3" xfId="0" applyFont="1" applyFill="1" applyBorder="1" applyAlignment="1">
      <alignment horizontal="center"/>
    </xf>
    <xf numFmtId="10" fontId="14" fillId="0" borderId="36" xfId="0" applyNumberFormat="1" applyFont="1" applyBorder="1" applyAlignment="1">
      <alignment horizontal="center"/>
    </xf>
    <xf numFmtId="10" fontId="14" fillId="0" borderId="14" xfId="0" applyNumberFormat="1" applyFont="1" applyBorder="1" applyAlignment="1">
      <alignment horizontal="center"/>
    </xf>
    <xf numFmtId="0" fontId="23" fillId="0" borderId="0" xfId="0" applyFont="1" applyAlignment="1">
      <alignment horizontal="center"/>
    </xf>
    <xf numFmtId="0" fontId="36" fillId="0" borderId="0" xfId="0" applyFont="1" applyAlignment="1">
      <alignment horizontal="right"/>
    </xf>
    <xf numFmtId="0" fontId="36" fillId="0" borderId="24" xfId="0" applyFont="1" applyBorder="1" applyAlignment="1">
      <alignment horizontal="right"/>
    </xf>
    <xf numFmtId="0" fontId="2" fillId="0" borderId="16" xfId="0" applyFont="1" applyBorder="1" applyAlignment="1">
      <alignment horizontal="center"/>
    </xf>
    <xf numFmtId="0" fontId="0" fillId="2" borderId="14" xfId="0" applyFill="1" applyBorder="1" applyAlignment="1" applyProtection="1">
      <alignment horizontal="left" indent="1"/>
      <protection locked="0"/>
    </xf>
    <xf numFmtId="0" fontId="18" fillId="0" borderId="22" xfId="0" applyFont="1" applyBorder="1" applyAlignment="1">
      <alignment horizontal="right" vertical="center"/>
    </xf>
    <xf numFmtId="0" fontId="18" fillId="0" borderId="24" xfId="0" applyFont="1" applyBorder="1" applyAlignment="1">
      <alignment horizontal="right" vertical="center"/>
    </xf>
    <xf numFmtId="0" fontId="18"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0" fillId="0" borderId="14" xfId="0" applyBorder="1" applyAlignment="1">
      <alignment horizontal="center" vertical="center"/>
    </xf>
    <xf numFmtId="0" fontId="2" fillId="0" borderId="32" xfId="0" applyFont="1" applyBorder="1" applyAlignment="1">
      <alignment horizontal="right"/>
    </xf>
    <xf numFmtId="0" fontId="6" fillId="0" borderId="17" xfId="0" applyFont="1" applyBorder="1" applyAlignment="1">
      <alignment horizontal="center" vertical="center"/>
    </xf>
    <xf numFmtId="0" fontId="6" fillId="0" borderId="21" xfId="0" applyFont="1" applyBorder="1" applyAlignment="1">
      <alignment horizontal="center" vertical="center"/>
    </xf>
    <xf numFmtId="0" fontId="6" fillId="0" borderId="18" xfId="0" applyFont="1" applyBorder="1" applyAlignment="1">
      <alignment horizontal="center" vertical="center"/>
    </xf>
    <xf numFmtId="164" fontId="18" fillId="2" borderId="4" xfId="0" applyNumberFormat="1" applyFont="1" applyFill="1" applyBorder="1" applyAlignment="1" applyProtection="1">
      <alignment horizontal="center"/>
      <protection locked="0"/>
    </xf>
    <xf numFmtId="164" fontId="18" fillId="2" borderId="7" xfId="0" applyNumberFormat="1" applyFont="1" applyFill="1" applyBorder="1" applyAlignment="1" applyProtection="1">
      <alignment horizontal="center"/>
      <protection locked="0"/>
    </xf>
    <xf numFmtId="164" fontId="18" fillId="2" borderId="5" xfId="0" applyNumberFormat="1" applyFont="1" applyFill="1" applyBorder="1" applyAlignment="1" applyProtection="1">
      <alignment horizontal="center"/>
      <protection locked="0"/>
    </xf>
    <xf numFmtId="0" fontId="14" fillId="0" borderId="30" xfId="0" applyFont="1" applyBorder="1" applyAlignment="1">
      <alignment horizontal="center"/>
    </xf>
    <xf numFmtId="0" fontId="14" fillId="0" borderId="38" xfId="0" applyFont="1" applyBorder="1" applyAlignment="1">
      <alignment horizontal="center"/>
    </xf>
    <xf numFmtId="0" fontId="0" fillId="2" borderId="14"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31" fillId="0" borderId="33" xfId="0" applyFont="1" applyBorder="1" applyAlignment="1">
      <alignment horizontal="center"/>
    </xf>
    <xf numFmtId="0" fontId="31" fillId="0" borderId="34" xfId="0" applyFont="1" applyBorder="1" applyAlignment="1">
      <alignment horizontal="center"/>
    </xf>
    <xf numFmtId="0" fontId="31" fillId="0" borderId="35" xfId="0" applyFont="1" applyBorder="1" applyAlignment="1">
      <alignment horizontal="center"/>
    </xf>
    <xf numFmtId="0" fontId="0" fillId="2" borderId="4" xfId="0" applyFill="1" applyBorder="1" applyAlignment="1" applyProtection="1">
      <alignment horizontal="center"/>
      <protection locked="0"/>
    </xf>
    <xf numFmtId="0" fontId="0" fillId="2" borderId="44" xfId="0" applyFill="1" applyBorder="1" applyAlignment="1" applyProtection="1">
      <alignment horizontal="center"/>
      <protection locked="0"/>
    </xf>
    <xf numFmtId="0" fontId="0" fillId="0" borderId="22" xfId="0" applyBorder="1" applyAlignment="1">
      <alignment horizontal="right" indent="1"/>
    </xf>
    <xf numFmtId="0" fontId="18" fillId="0" borderId="25" xfId="0" applyFont="1" applyBorder="1" applyAlignment="1">
      <alignment horizontal="right"/>
    </xf>
    <xf numFmtId="0" fontId="18" fillId="0" borderId="9" xfId="0" applyFont="1" applyBorder="1" applyAlignment="1">
      <alignment horizontal="right"/>
    </xf>
    <xf numFmtId="0" fontId="0" fillId="2" borderId="12" xfId="0" applyFill="1" applyBorder="1" applyAlignment="1" applyProtection="1">
      <alignment horizontal="left" indent="1"/>
      <protection locked="0"/>
    </xf>
    <xf numFmtId="0" fontId="2" fillId="0" borderId="9" xfId="0" applyFont="1" applyBorder="1" applyAlignment="1">
      <alignment horizontal="right"/>
    </xf>
    <xf numFmtId="0" fontId="2" fillId="0" borderId="10" xfId="0" applyFont="1" applyBorder="1" applyAlignment="1">
      <alignment horizontal="right"/>
    </xf>
    <xf numFmtId="0" fontId="2" fillId="0" borderId="15" xfId="0" applyFont="1" applyBorder="1" applyAlignment="1">
      <alignment horizontal="right"/>
    </xf>
    <xf numFmtId="0" fontId="14" fillId="2" borderId="4" xfId="0" applyFont="1" applyFill="1" applyBorder="1" applyAlignment="1" applyProtection="1">
      <alignment horizontal="center"/>
      <protection locked="0"/>
    </xf>
    <xf numFmtId="0" fontId="14" fillId="2" borderId="7" xfId="0" applyFont="1" applyFill="1" applyBorder="1" applyAlignment="1" applyProtection="1">
      <alignment horizontal="center"/>
      <protection locked="0"/>
    </xf>
    <xf numFmtId="0" fontId="14" fillId="2" borderId="5" xfId="0" applyFont="1" applyFill="1" applyBorder="1" applyAlignment="1" applyProtection="1">
      <alignment horizontal="center"/>
      <protection locked="0"/>
    </xf>
    <xf numFmtId="0" fontId="2" fillId="0" borderId="41" xfId="0" applyFont="1" applyBorder="1" applyAlignment="1">
      <alignment horizontal="center"/>
    </xf>
    <xf numFmtId="0" fontId="2" fillId="0" borderId="40" xfId="0" applyFont="1" applyBorder="1" applyAlignment="1">
      <alignment horizontal="center"/>
    </xf>
    <xf numFmtId="0" fontId="2" fillId="0" borderId="42" xfId="0" applyFont="1" applyBorder="1" applyAlignment="1">
      <alignment horizontal="center"/>
    </xf>
    <xf numFmtId="178" fontId="0" fillId="2" borderId="7" xfId="0" applyNumberFormat="1" applyFill="1" applyBorder="1" applyAlignment="1" applyProtection="1">
      <alignment horizontal="center"/>
      <protection locked="0"/>
    </xf>
    <xf numFmtId="178" fontId="0" fillId="2" borderId="5" xfId="0" applyNumberFormat="1" applyFill="1" applyBorder="1" applyAlignment="1" applyProtection="1">
      <alignment horizontal="center"/>
      <protection locked="0"/>
    </xf>
    <xf numFmtId="0" fontId="18" fillId="0" borderId="8" xfId="0" applyFont="1" applyBorder="1" applyAlignment="1">
      <alignment horizontal="right"/>
    </xf>
    <xf numFmtId="0" fontId="18" fillId="0" borderId="10" xfId="0" applyFont="1" applyBorder="1" applyAlignment="1">
      <alignment horizontal="right"/>
    </xf>
    <xf numFmtId="0" fontId="14" fillId="2" borderId="4" xfId="0" applyFont="1" applyFill="1" applyBorder="1" applyAlignment="1" applyProtection="1">
      <alignment horizontal="left" indent="1"/>
      <protection locked="0"/>
    </xf>
    <xf numFmtId="0" fontId="14" fillId="2" borderId="7" xfId="0" applyFont="1" applyFill="1" applyBorder="1" applyAlignment="1" applyProtection="1">
      <alignment horizontal="left" indent="1"/>
      <protection locked="0"/>
    </xf>
    <xf numFmtId="0" fontId="14" fillId="2" borderId="5" xfId="0" applyFont="1" applyFill="1" applyBorder="1" applyAlignment="1" applyProtection="1">
      <alignment horizontal="left" indent="1"/>
      <protection locked="0"/>
    </xf>
    <xf numFmtId="49" fontId="0" fillId="2" borderId="7" xfId="0" applyNumberFormat="1" applyFill="1" applyBorder="1" applyAlignment="1" applyProtection="1">
      <alignment horizontal="left" indent="1"/>
      <protection locked="0"/>
    </xf>
    <xf numFmtId="0" fontId="2" fillId="0" borderId="7" xfId="0" applyFont="1" applyBorder="1" applyAlignment="1">
      <alignment horizontal="right"/>
    </xf>
    <xf numFmtId="0" fontId="14" fillId="2" borderId="8" xfId="0" applyFont="1" applyFill="1" applyBorder="1" applyAlignment="1" applyProtection="1">
      <alignment horizontal="left" indent="1"/>
      <protection locked="0"/>
    </xf>
    <xf numFmtId="0" fontId="14" fillId="2" borderId="9" xfId="0" applyFont="1" applyFill="1" applyBorder="1" applyAlignment="1" applyProtection="1">
      <alignment horizontal="left" indent="1"/>
      <protection locked="0"/>
    </xf>
    <xf numFmtId="0" fontId="14" fillId="2" borderId="0" xfId="0" applyFont="1" applyFill="1" applyAlignment="1" applyProtection="1">
      <alignment horizontal="left" indent="1"/>
      <protection locked="0"/>
    </xf>
    <xf numFmtId="0" fontId="14" fillId="2" borderId="24" xfId="0" applyFont="1" applyFill="1" applyBorder="1" applyAlignment="1" applyProtection="1">
      <alignment horizontal="left" indent="1"/>
      <protection locked="0"/>
    </xf>
    <xf numFmtId="0" fontId="2" fillId="0" borderId="11" xfId="0" applyFont="1" applyBorder="1" applyAlignment="1">
      <alignment horizontal="right"/>
    </xf>
    <xf numFmtId="164" fontId="2" fillId="0" borderId="7" xfId="0" applyNumberFormat="1" applyFont="1" applyBorder="1" applyAlignment="1">
      <alignment horizontal="center"/>
    </xf>
    <xf numFmtId="164" fontId="2" fillId="0" borderId="5" xfId="0" applyNumberFormat="1" applyFont="1" applyBorder="1" applyAlignment="1">
      <alignment horizontal="center"/>
    </xf>
    <xf numFmtId="0" fontId="0" fillId="0" borderId="4" xfId="0" applyBorder="1" applyAlignment="1">
      <alignment horizontal="right"/>
    </xf>
    <xf numFmtId="0" fontId="0" fillId="0" borderId="7" xfId="0" applyBorder="1" applyAlignment="1">
      <alignment horizontal="right"/>
    </xf>
    <xf numFmtId="0" fontId="14" fillId="0" borderId="4" xfId="0" applyFont="1" applyBorder="1" applyAlignment="1">
      <alignment horizontal="center"/>
    </xf>
    <xf numFmtId="0" fontId="14" fillId="0" borderId="7" xfId="0" applyFont="1" applyBorder="1" applyAlignment="1">
      <alignment horizontal="center"/>
    </xf>
    <xf numFmtId="0" fontId="18" fillId="0" borderId="7" xfId="0" applyFont="1" applyBorder="1"/>
    <xf numFmtId="0" fontId="18" fillId="0" borderId="5" xfId="0" applyFont="1" applyBorder="1"/>
    <xf numFmtId="0" fontId="14" fillId="0" borderId="4" xfId="0" applyFont="1" applyBorder="1" applyAlignment="1">
      <alignment horizontal="left" indent="1"/>
    </xf>
    <xf numFmtId="0" fontId="14" fillId="0" borderId="7" xfId="0" applyFont="1" applyBorder="1" applyAlignment="1">
      <alignment horizontal="left" indent="1"/>
    </xf>
    <xf numFmtId="0" fontId="14" fillId="0" borderId="5" xfId="0" applyFont="1" applyBorder="1" applyAlignment="1">
      <alignment horizontal="left" indent="1"/>
    </xf>
    <xf numFmtId="0" fontId="14" fillId="0" borderId="8" xfId="0" applyFont="1" applyBorder="1" applyAlignment="1">
      <alignment horizontal="left" indent="1"/>
    </xf>
    <xf numFmtId="0" fontId="14" fillId="0" borderId="9" xfId="0" applyFont="1" applyBorder="1" applyAlignment="1">
      <alignment horizontal="left" indent="1"/>
    </xf>
    <xf numFmtId="0" fontId="14" fillId="0" borderId="0" xfId="0" applyFont="1" applyAlignment="1">
      <alignment horizontal="left" indent="1"/>
    </xf>
    <xf numFmtId="0" fontId="14" fillId="0" borderId="24" xfId="0" applyFont="1" applyBorder="1" applyAlignment="1">
      <alignment horizontal="left" indent="1"/>
    </xf>
    <xf numFmtId="0" fontId="49" fillId="0" borderId="6" xfId="3" applyFont="1" applyBorder="1" applyAlignment="1" applyProtection="1">
      <alignment horizontal="right"/>
    </xf>
    <xf numFmtId="0" fontId="49" fillId="0" borderId="24" xfId="3" applyFont="1" applyBorder="1" applyAlignment="1" applyProtection="1">
      <alignment horizontal="right"/>
    </xf>
    <xf numFmtId="0" fontId="49" fillId="0" borderId="0" xfId="3" applyFont="1" applyBorder="1" applyAlignment="1" applyProtection="1">
      <alignment horizontal="right"/>
    </xf>
    <xf numFmtId="0" fontId="6" fillId="0" borderId="0" xfId="0" applyFont="1" applyAlignment="1">
      <alignment horizontal="center"/>
    </xf>
    <xf numFmtId="0" fontId="14" fillId="0" borderId="55" xfId="0" applyFont="1" applyBorder="1" applyAlignment="1">
      <alignment horizontal="right"/>
    </xf>
    <xf numFmtId="41" fontId="42" fillId="0" borderId="2" xfId="0" applyNumberFormat="1" applyFont="1" applyBorder="1" applyAlignment="1">
      <alignment horizontal="center"/>
    </xf>
    <xf numFmtId="41" fontId="42" fillId="0" borderId="3" xfId="0" applyNumberFormat="1" applyFont="1" applyBorder="1" applyAlignment="1">
      <alignment horizontal="center"/>
    </xf>
    <xf numFmtId="0" fontId="18" fillId="0" borderId="0" xfId="0" applyFont="1" applyAlignment="1">
      <alignment horizontal="center"/>
    </xf>
    <xf numFmtId="0" fontId="14" fillId="0" borderId="29" xfId="0" applyFont="1" applyBorder="1" applyAlignment="1">
      <alignment horizontal="right"/>
    </xf>
    <xf numFmtId="0" fontId="14" fillId="0" borderId="48" xfId="0" applyFont="1" applyBorder="1" applyAlignment="1">
      <alignment horizontal="right"/>
    </xf>
    <xf numFmtId="0" fontId="14" fillId="0" borderId="26" xfId="0" applyFont="1" applyBorder="1" applyAlignment="1">
      <alignment horizontal="right"/>
    </xf>
    <xf numFmtId="0" fontId="14" fillId="0" borderId="5" xfId="0" applyFont="1" applyBorder="1" applyAlignment="1">
      <alignment horizontal="right"/>
    </xf>
    <xf numFmtId="0" fontId="14" fillId="0" borderId="41" xfId="0" applyFont="1" applyBorder="1" applyAlignment="1">
      <alignment horizontal="right"/>
    </xf>
    <xf numFmtId="0" fontId="14" fillId="0" borderId="47" xfId="0" applyFont="1" applyBorder="1" applyAlignment="1">
      <alignment horizontal="right"/>
    </xf>
    <xf numFmtId="0" fontId="14" fillId="0" borderId="40" xfId="0" applyFont="1" applyBorder="1" applyAlignment="1">
      <alignment horizontal="right"/>
    </xf>
    <xf numFmtId="44" fontId="0" fillId="0" borderId="40" xfId="0" applyNumberFormat="1" applyBorder="1" applyAlignment="1">
      <alignment horizontal="center"/>
    </xf>
    <xf numFmtId="44" fontId="0" fillId="0" borderId="42" xfId="0" applyNumberFormat="1" applyBorder="1" applyAlignment="1">
      <alignment horizontal="center"/>
    </xf>
    <xf numFmtId="41" fontId="18" fillId="0" borderId="75" xfId="0" applyNumberFormat="1" applyFont="1" applyBorder="1" applyAlignment="1">
      <alignment horizontal="center"/>
    </xf>
    <xf numFmtId="41" fontId="18" fillId="0" borderId="2" xfId="0" applyNumberFormat="1" applyFont="1" applyBorder="1" applyAlignment="1">
      <alignment horizontal="center"/>
    </xf>
    <xf numFmtId="41" fontId="18" fillId="0" borderId="3" xfId="0" applyNumberFormat="1" applyFont="1" applyBorder="1" applyAlignment="1">
      <alignment horizontal="center"/>
    </xf>
    <xf numFmtId="0" fontId="14" fillId="0" borderId="72" xfId="0" applyFont="1" applyBorder="1" applyAlignment="1">
      <alignment horizontal="right"/>
    </xf>
    <xf numFmtId="0" fontId="14" fillId="0" borderId="7" xfId="0" applyFont="1" applyBorder="1" applyAlignment="1">
      <alignment horizontal="right"/>
    </xf>
    <xf numFmtId="0" fontId="14" fillId="0" borderId="26" xfId="0" applyFont="1" applyBorder="1" applyAlignment="1">
      <alignment horizontal="right" indent="2"/>
    </xf>
    <xf numFmtId="0" fontId="14" fillId="0" borderId="5" xfId="0" applyFont="1" applyBorder="1" applyAlignment="1">
      <alignment horizontal="right" indent="2"/>
    </xf>
    <xf numFmtId="0" fontId="0" fillId="0" borderId="37" xfId="0" applyBorder="1" applyAlignment="1">
      <alignment horizontal="right"/>
    </xf>
    <xf numFmtId="0" fontId="0" fillId="0" borderId="30" xfId="0" applyBorder="1" applyAlignment="1">
      <alignment horizontal="right"/>
    </xf>
    <xf numFmtId="0" fontId="18" fillId="0" borderId="31" xfId="0" applyFont="1" applyBorder="1" applyAlignment="1">
      <alignment horizontal="center"/>
    </xf>
    <xf numFmtId="0" fontId="14" fillId="2" borderId="56" xfId="0" applyFont="1" applyFill="1" applyBorder="1" applyAlignment="1" applyProtection="1">
      <alignment horizontal="left" indent="1"/>
      <protection locked="0"/>
    </xf>
    <xf numFmtId="0" fontId="14" fillId="2" borderId="55" xfId="0" applyFont="1" applyFill="1" applyBorder="1" applyAlignment="1" applyProtection="1">
      <alignment horizontal="left" indent="1"/>
      <protection locked="0"/>
    </xf>
    <xf numFmtId="0" fontId="14" fillId="2" borderId="28" xfId="0" applyFont="1" applyFill="1" applyBorder="1" applyAlignment="1" applyProtection="1">
      <alignment horizontal="left" indent="1"/>
      <protection locked="0"/>
    </xf>
    <xf numFmtId="0" fontId="18" fillId="0" borderId="54" xfId="0" applyFont="1" applyBorder="1" applyAlignment="1">
      <alignment horizontal="right"/>
    </xf>
    <xf numFmtId="0" fontId="18" fillId="0" borderId="55" xfId="0" applyFont="1" applyBorder="1" applyAlignment="1">
      <alignment horizontal="right"/>
    </xf>
    <xf numFmtId="0" fontId="35" fillId="0" borderId="26" xfId="0" applyFont="1" applyBorder="1" applyAlignment="1">
      <alignment horizontal="right"/>
    </xf>
    <xf numFmtId="0" fontId="35" fillId="0" borderId="5" xfId="0" applyFont="1" applyBorder="1" applyAlignment="1">
      <alignment horizontal="right"/>
    </xf>
    <xf numFmtId="0" fontId="23" fillId="0" borderId="1" xfId="0" applyFont="1" applyBorder="1" applyAlignment="1">
      <alignment horizontal="right"/>
    </xf>
    <xf numFmtId="0" fontId="23" fillId="0" borderId="2" xfId="0" applyFont="1" applyBorder="1" applyAlignment="1">
      <alignment horizontal="right"/>
    </xf>
    <xf numFmtId="0" fontId="14" fillId="0" borderId="57" xfId="0" applyFont="1" applyBorder="1" applyAlignment="1">
      <alignment horizontal="right" indent="2"/>
    </xf>
    <xf numFmtId="0" fontId="14" fillId="0" borderId="12" xfId="0" applyFont="1" applyBorder="1" applyAlignment="1">
      <alignment horizontal="right" indent="2"/>
    </xf>
    <xf numFmtId="0" fontId="18" fillId="0" borderId="26" xfId="0" applyFont="1" applyBorder="1" applyAlignment="1">
      <alignment horizontal="right" indent="1"/>
    </xf>
    <xf numFmtId="0" fontId="18" fillId="0" borderId="5" xfId="0" applyFont="1" applyBorder="1" applyAlignment="1">
      <alignment horizontal="right" indent="1"/>
    </xf>
    <xf numFmtId="0" fontId="0" fillId="0" borderId="36" xfId="0" applyBorder="1" applyAlignment="1">
      <alignment horizontal="right" vertical="center" indent="1"/>
    </xf>
    <xf numFmtId="0" fontId="0" fillId="0" borderId="33" xfId="0" applyBorder="1" applyAlignment="1">
      <alignment horizontal="right"/>
    </xf>
    <xf numFmtId="0" fontId="0" fillId="0" borderId="34" xfId="0" applyBorder="1" applyAlignment="1">
      <alignment horizontal="right"/>
    </xf>
    <xf numFmtId="0" fontId="18" fillId="0" borderId="1" xfId="0" applyFont="1" applyBorder="1" applyAlignment="1">
      <alignment horizontal="right"/>
    </xf>
    <xf numFmtId="0" fontId="18" fillId="0" borderId="2" xfId="0" applyFont="1" applyBorder="1" applyAlignment="1">
      <alignment horizontal="right"/>
    </xf>
    <xf numFmtId="41" fontId="14" fillId="0" borderId="2" xfId="0" applyNumberFormat="1" applyFont="1" applyBorder="1" applyAlignment="1">
      <alignment horizontal="center"/>
    </xf>
    <xf numFmtId="41" fontId="14" fillId="0" borderId="3" xfId="0" applyNumberFormat="1" applyFont="1" applyBorder="1" applyAlignment="1">
      <alignment horizontal="center"/>
    </xf>
    <xf numFmtId="1" fontId="0" fillId="0" borderId="72" xfId="0" applyNumberFormat="1" applyBorder="1" applyAlignment="1">
      <alignment horizontal="center"/>
    </xf>
    <xf numFmtId="1" fontId="0" fillId="0" borderId="51" xfId="0" applyNumberFormat="1" applyBorder="1" applyAlignment="1">
      <alignment horizontal="center"/>
    </xf>
    <xf numFmtId="181" fontId="0" fillId="0" borderId="7" xfId="0" applyNumberFormat="1" applyBorder="1" applyAlignment="1">
      <alignment horizontal="center"/>
    </xf>
    <xf numFmtId="181" fontId="0" fillId="0" borderId="44" xfId="0" applyNumberFormat="1" applyBorder="1" applyAlignment="1">
      <alignment horizontal="center"/>
    </xf>
    <xf numFmtId="1" fontId="0" fillId="0" borderId="7" xfId="0" applyNumberFormat="1" applyBorder="1" applyAlignment="1">
      <alignment horizontal="center"/>
    </xf>
    <xf numFmtId="1" fontId="0" fillId="0" borderId="44" xfId="0" applyNumberFormat="1" applyBorder="1" applyAlignment="1">
      <alignment horizontal="center"/>
    </xf>
    <xf numFmtId="0" fontId="14" fillId="0" borderId="41" xfId="0" applyFont="1" applyBorder="1" applyAlignment="1">
      <alignment horizontal="right" indent="2"/>
    </xf>
    <xf numFmtId="0" fontId="14" fillId="0" borderId="47" xfId="0" applyFont="1" applyBorder="1" applyAlignment="1">
      <alignment horizontal="right" indent="2"/>
    </xf>
    <xf numFmtId="44" fontId="0" fillId="0" borderId="7" xfId="0" applyNumberFormat="1" applyBorder="1" applyAlignment="1">
      <alignment horizontal="center"/>
    </xf>
    <xf numFmtId="44" fontId="0" fillId="0" borderId="44" xfId="0" applyNumberFormat="1" applyBorder="1" applyAlignment="1">
      <alignment horizontal="center"/>
    </xf>
    <xf numFmtId="0" fontId="0" fillId="0" borderId="4" xfId="0" applyBorder="1" applyAlignment="1">
      <alignment horizontal="center"/>
    </xf>
    <xf numFmtId="3" fontId="0" fillId="2" borderId="4" xfId="0" applyNumberFormat="1" applyFill="1" applyBorder="1" applyAlignment="1" applyProtection="1">
      <alignment horizontal="center"/>
      <protection locked="0"/>
    </xf>
    <xf numFmtId="3" fontId="0" fillId="2" borderId="5" xfId="0" applyNumberFormat="1" applyFill="1" applyBorder="1" applyAlignment="1" applyProtection="1">
      <alignment horizontal="center"/>
      <protection locked="0"/>
    </xf>
    <xf numFmtId="3" fontId="18" fillId="0" borderId="50" xfId="0" applyNumberFormat="1" applyFont="1" applyBorder="1" applyAlignment="1">
      <alignment horizontal="center"/>
    </xf>
    <xf numFmtId="3" fontId="18" fillId="0" borderId="48" xfId="0" applyNumberFormat="1" applyFont="1" applyBorder="1" applyAlignment="1">
      <alignment horizontal="center"/>
    </xf>
    <xf numFmtId="3" fontId="0" fillId="2" borderId="14" xfId="0" applyNumberFormat="1" applyFill="1" applyBorder="1" applyAlignment="1" applyProtection="1">
      <alignment horizontal="center"/>
      <protection locked="0"/>
    </xf>
    <xf numFmtId="3" fontId="0" fillId="2" borderId="27" xfId="0" applyNumberFormat="1" applyFill="1" applyBorder="1" applyAlignment="1" applyProtection="1">
      <alignment horizontal="center"/>
      <protection locked="0"/>
    </xf>
    <xf numFmtId="0" fontId="18" fillId="0" borderId="30" xfId="0" applyFont="1" applyBorder="1" applyAlignment="1">
      <alignment horizontal="center"/>
    </xf>
    <xf numFmtId="1" fontId="18" fillId="0" borderId="30" xfId="0" applyNumberFormat="1" applyFont="1" applyBorder="1" applyAlignment="1">
      <alignment horizontal="center"/>
    </xf>
    <xf numFmtId="1" fontId="18" fillId="0" borderId="38" xfId="0" applyNumberFormat="1" applyFont="1" applyBorder="1" applyAlignment="1">
      <alignment horizontal="center"/>
    </xf>
    <xf numFmtId="49" fontId="18" fillId="0" borderId="49" xfId="0" applyNumberFormat="1" applyFont="1" applyBorder="1" applyAlignment="1">
      <alignment horizontal="center" wrapText="1"/>
    </xf>
    <xf numFmtId="49" fontId="18" fillId="0" borderId="47" xfId="0" applyNumberFormat="1" applyFont="1" applyBorder="1" applyAlignment="1">
      <alignment horizontal="center" wrapText="1"/>
    </xf>
    <xf numFmtId="49" fontId="18" fillId="0" borderId="34" xfId="0" applyNumberFormat="1" applyFont="1" applyBorder="1" applyAlignment="1">
      <alignment horizontal="center" wrapText="1"/>
    </xf>
    <xf numFmtId="0" fontId="18" fillId="0" borderId="34" xfId="0" applyFont="1" applyBorder="1" applyAlignment="1">
      <alignment horizontal="center" wrapText="1"/>
    </xf>
    <xf numFmtId="0" fontId="18" fillId="0" borderId="35" xfId="0" applyFont="1" applyBorder="1" applyAlignment="1">
      <alignment horizontal="center" wrapText="1"/>
    </xf>
    <xf numFmtId="1" fontId="0" fillId="2" borderId="4" xfId="0" applyNumberFormat="1" applyFill="1" applyBorder="1" applyAlignment="1" applyProtection="1">
      <alignment horizontal="center"/>
      <protection locked="0"/>
    </xf>
    <xf numFmtId="1" fontId="0" fillId="2" borderId="5" xfId="0" applyNumberFormat="1" applyFill="1" applyBorder="1" applyAlignment="1" applyProtection="1">
      <alignment horizontal="center"/>
      <protection locked="0"/>
    </xf>
    <xf numFmtId="1" fontId="18" fillId="0" borderId="50" xfId="0" applyNumberFormat="1" applyFont="1" applyBorder="1" applyAlignment="1">
      <alignment horizontal="center"/>
    </xf>
    <xf numFmtId="1" fontId="18" fillId="0" borderId="48" xfId="0" applyNumberFormat="1" applyFont="1" applyBorder="1" applyAlignment="1">
      <alignment horizontal="center"/>
    </xf>
    <xf numFmtId="0" fontId="0" fillId="0" borderId="14" xfId="0" applyBorder="1" applyAlignment="1">
      <alignment horizontal="right"/>
    </xf>
    <xf numFmtId="0" fontId="2" fillId="0" borderId="0" xfId="0" applyFont="1" applyAlignment="1">
      <alignment horizontal="center"/>
    </xf>
    <xf numFmtId="0" fontId="18" fillId="0" borderId="4" xfId="0" applyFont="1" applyBorder="1" applyAlignment="1">
      <alignment horizontal="right"/>
    </xf>
    <xf numFmtId="0" fontId="18" fillId="0" borderId="5" xfId="0" applyFont="1" applyBorder="1" applyAlignment="1">
      <alignment horizontal="right"/>
    </xf>
    <xf numFmtId="0" fontId="14" fillId="2" borderId="14" xfId="0" applyFont="1" applyFill="1" applyBorder="1" applyAlignment="1" applyProtection="1">
      <alignment horizontal="left"/>
      <protection locked="0"/>
    </xf>
    <xf numFmtId="0" fontId="14" fillId="2" borderId="27" xfId="0" applyFont="1" applyFill="1" applyBorder="1" applyAlignment="1" applyProtection="1">
      <alignment horizontal="left"/>
      <protection locked="0"/>
    </xf>
    <xf numFmtId="0" fontId="18" fillId="0" borderId="38" xfId="0" applyFont="1" applyBorder="1" applyAlignment="1">
      <alignment horizontal="center"/>
    </xf>
    <xf numFmtId="0" fontId="14" fillId="2" borderId="14" xfId="0" applyFont="1" applyFill="1" applyBorder="1" applyAlignment="1" applyProtection="1">
      <alignment horizontal="center"/>
      <protection locked="0"/>
    </xf>
    <xf numFmtId="0" fontId="0" fillId="0" borderId="7" xfId="0" applyBorder="1" applyAlignment="1">
      <alignment horizontal="center"/>
    </xf>
    <xf numFmtId="49" fontId="18" fillId="0" borderId="35" xfId="0" applyNumberFormat="1" applyFont="1" applyBorder="1" applyAlignment="1">
      <alignment horizontal="center" wrapText="1"/>
    </xf>
    <xf numFmtId="3" fontId="18" fillId="0" borderId="51" xfId="0" applyNumberFormat="1" applyFont="1" applyBorder="1" applyAlignment="1">
      <alignment horizontal="center"/>
    </xf>
    <xf numFmtId="0" fontId="18" fillId="0" borderId="7" xfId="0" applyFont="1" applyBorder="1" applyAlignment="1">
      <alignment horizontal="left"/>
    </xf>
    <xf numFmtId="0" fontId="18" fillId="0" borderId="5" xfId="0" applyFont="1" applyBorder="1" applyAlignment="1">
      <alignment horizontal="left"/>
    </xf>
    <xf numFmtId="0" fontId="0" fillId="0" borderId="5" xfId="0" applyBorder="1" applyAlignment="1">
      <alignment horizontal="right"/>
    </xf>
    <xf numFmtId="0" fontId="0" fillId="0" borderId="9" xfId="0" applyBorder="1" applyAlignment="1">
      <alignment horizontal="center"/>
    </xf>
    <xf numFmtId="0" fontId="2" fillId="0" borderId="9" xfId="0" applyFont="1" applyBorder="1" applyAlignment="1">
      <alignment horizontal="center"/>
    </xf>
    <xf numFmtId="0" fontId="0" fillId="2" borderId="4" xfId="0" applyFill="1" applyBorder="1" applyProtection="1">
      <protection locked="0"/>
    </xf>
    <xf numFmtId="0" fontId="0" fillId="2" borderId="7" xfId="0" applyFill="1" applyBorder="1" applyProtection="1">
      <protection locked="0"/>
    </xf>
    <xf numFmtId="0" fontId="0" fillId="2" borderId="5" xfId="0" applyFill="1" applyBorder="1" applyProtection="1">
      <protection locked="0"/>
    </xf>
    <xf numFmtId="0" fontId="0" fillId="0" borderId="4" xfId="0" applyBorder="1"/>
    <xf numFmtId="0" fontId="0" fillId="0" borderId="7" xfId="0" applyBorder="1"/>
    <xf numFmtId="0" fontId="0" fillId="0" borderId="5" xfId="0" applyBorder="1"/>
    <xf numFmtId="0" fontId="0" fillId="0" borderId="5" xfId="0" applyBorder="1" applyProtection="1">
      <protection locked="0"/>
    </xf>
    <xf numFmtId="0" fontId="14" fillId="0" borderId="4" xfId="0" applyFont="1" applyBorder="1"/>
    <xf numFmtId="0" fontId="14" fillId="0" borderId="7" xfId="0" applyFont="1" applyBorder="1"/>
    <xf numFmtId="0" fontId="20" fillId="0" borderId="9" xfId="0" applyFont="1" applyBorder="1"/>
    <xf numFmtId="0" fontId="14" fillId="0" borderId="4" xfId="0" applyFont="1" applyBorder="1" applyAlignment="1">
      <alignment horizontal="right"/>
    </xf>
    <xf numFmtId="0" fontId="14" fillId="0" borderId="4" xfId="0" applyFont="1" applyBorder="1" applyAlignment="1">
      <alignment horizontal="left"/>
    </xf>
    <xf numFmtId="0" fontId="14" fillId="0" borderId="7" xfId="0" applyFont="1" applyBorder="1" applyAlignment="1">
      <alignment horizontal="left"/>
    </xf>
    <xf numFmtId="0" fontId="14" fillId="0" borderId="5" xfId="0" applyFont="1" applyBorder="1" applyAlignment="1">
      <alignment horizontal="left"/>
    </xf>
    <xf numFmtId="0" fontId="31" fillId="0" borderId="4" xfId="0" applyFont="1" applyBorder="1" applyAlignment="1">
      <alignment horizontal="right"/>
    </xf>
    <xf numFmtId="0" fontId="31" fillId="0" borderId="7" xfId="0" applyFont="1" applyBorder="1" applyAlignment="1">
      <alignment horizontal="right"/>
    </xf>
    <xf numFmtId="0" fontId="31" fillId="0" borderId="5" xfId="0" applyFont="1" applyBorder="1" applyAlignment="1">
      <alignment horizontal="right"/>
    </xf>
    <xf numFmtId="178" fontId="18" fillId="0" borderId="7" xfId="0" applyNumberFormat="1" applyFont="1" applyBorder="1" applyAlignment="1">
      <alignment horizontal="center"/>
    </xf>
    <xf numFmtId="178" fontId="2" fillId="0" borderId="5" xfId="0" applyNumberFormat="1" applyFont="1" applyBorder="1" applyAlignment="1">
      <alignment horizontal="center"/>
    </xf>
    <xf numFmtId="0" fontId="18" fillId="11" borderId="4" xfId="0" applyFont="1" applyFill="1" applyBorder="1" applyAlignment="1">
      <alignment horizontal="center" vertical="center"/>
    </xf>
    <xf numFmtId="0" fontId="18" fillId="0" borderId="7" xfId="0" applyFont="1" applyBorder="1" applyAlignment="1">
      <alignment horizontal="center" vertical="center"/>
    </xf>
    <xf numFmtId="0" fontId="18" fillId="0" borderId="5" xfId="0" applyFont="1" applyBorder="1" applyAlignment="1">
      <alignment horizontal="center" vertical="center"/>
    </xf>
    <xf numFmtId="0" fontId="29" fillId="0" borderId="0" xfId="0" applyFont="1" applyAlignment="1">
      <alignment horizontal="center"/>
    </xf>
    <xf numFmtId="0" fontId="13" fillId="0" borderId="0" xfId="0" applyFont="1" applyAlignment="1">
      <alignment horizontal="center"/>
    </xf>
    <xf numFmtId="0" fontId="14" fillId="2" borderId="4" xfId="0" applyFont="1" applyFill="1" applyBorder="1" applyProtection="1">
      <protection locked="0"/>
    </xf>
    <xf numFmtId="0" fontId="10" fillId="0" borderId="13" xfId="0" applyFont="1" applyBorder="1" applyAlignment="1">
      <alignment horizontal="left" vertical="center" textRotation="90"/>
    </xf>
    <xf numFmtId="0" fontId="10" fillId="0" borderId="16" xfId="0" applyFont="1" applyBorder="1" applyAlignment="1">
      <alignment horizontal="left" vertical="center" textRotation="90"/>
    </xf>
    <xf numFmtId="49" fontId="0" fillId="0" borderId="0" xfId="0" applyNumberFormat="1" applyAlignment="1" applyProtection="1">
      <alignment horizontal="left" vertical="center" wrapText="1"/>
      <protection locked="0"/>
    </xf>
    <xf numFmtId="0" fontId="14" fillId="0" borderId="5" xfId="0" applyFont="1" applyBorder="1"/>
    <xf numFmtId="0" fontId="17" fillId="0" borderId="4" xfId="0" applyFont="1" applyBorder="1" applyAlignment="1">
      <alignment horizontal="right"/>
    </xf>
    <xf numFmtId="0" fontId="17" fillId="0" borderId="7" xfId="0" applyFont="1" applyBorder="1" applyAlignment="1">
      <alignment horizontal="right"/>
    </xf>
    <xf numFmtId="0" fontId="17" fillId="0" borderId="5" xfId="0" applyFont="1" applyBorder="1" applyAlignment="1">
      <alignment horizontal="right"/>
    </xf>
    <xf numFmtId="0" fontId="0" fillId="0" borderId="14" xfId="0" applyBorder="1" applyAlignment="1">
      <alignment horizontal="center"/>
    </xf>
    <xf numFmtId="0" fontId="50" fillId="0" borderId="0" xfId="0" applyFont="1"/>
    <xf numFmtId="0" fontId="34" fillId="0" borderId="0" xfId="0" applyFont="1" applyAlignment="1">
      <alignment horizontal="left" vertical="center" wrapText="1"/>
    </xf>
    <xf numFmtId="165" fontId="50" fillId="0" borderId="0" xfId="1" applyNumberFormat="1" applyFont="1" applyAlignment="1" applyProtection="1">
      <alignment horizontal="center"/>
    </xf>
    <xf numFmtId="178" fontId="34" fillId="2" borderId="31" xfId="1" applyNumberFormat="1" applyFont="1" applyFill="1" applyBorder="1" applyAlignment="1" applyProtection="1">
      <alignment horizontal="center"/>
    </xf>
    <xf numFmtId="42" fontId="0" fillId="2" borderId="14" xfId="1" applyNumberFormat="1" applyFont="1" applyFill="1" applyBorder="1" applyAlignment="1" applyProtection="1">
      <protection locked="0"/>
    </xf>
    <xf numFmtId="0" fontId="14" fillId="3" borderId="14" xfId="0" applyFont="1" applyFill="1" applyBorder="1" applyProtection="1">
      <protection locked="0"/>
    </xf>
    <xf numFmtId="0" fontId="0" fillId="3" borderId="14" xfId="0" applyFill="1" applyBorder="1" applyProtection="1">
      <protection locked="0"/>
    </xf>
    <xf numFmtId="0" fontId="0" fillId="2" borderId="14" xfId="0" applyFill="1" applyBorder="1" applyAlignment="1" applyProtection="1">
      <alignment horizontal="left"/>
      <protection locked="0"/>
    </xf>
    <xf numFmtId="0" fontId="20" fillId="0" borderId="0" xfId="0" applyFont="1" applyAlignment="1">
      <alignment vertical="center" wrapText="1"/>
    </xf>
    <xf numFmtId="0" fontId="20" fillId="0" borderId="9" xfId="0" applyFont="1" applyBorder="1" applyAlignment="1">
      <alignment vertical="center" wrapText="1"/>
    </xf>
    <xf numFmtId="0" fontId="24" fillId="0" borderId="11" xfId="0" applyFont="1" applyBorder="1" applyAlignment="1">
      <alignment horizontal="right"/>
    </xf>
    <xf numFmtId="0" fontId="34" fillId="0" borderId="15" xfId="0" applyFont="1" applyBorder="1" applyAlignment="1">
      <alignment horizontal="right"/>
    </xf>
    <xf numFmtId="0" fontId="34" fillId="0" borderId="12" xfId="0" applyFont="1" applyBorder="1" applyAlignment="1">
      <alignment horizontal="right"/>
    </xf>
    <xf numFmtId="14" fontId="14" fillId="2" borderId="14" xfId="1" applyNumberFormat="1" applyFont="1" applyFill="1" applyBorder="1" applyAlignment="1" applyProtection="1">
      <alignment horizontal="center"/>
      <protection locked="0"/>
    </xf>
    <xf numFmtId="0" fontId="24" fillId="0" borderId="4" xfId="0" applyFont="1" applyBorder="1" applyAlignment="1">
      <alignment horizontal="right"/>
    </xf>
    <xf numFmtId="0" fontId="34" fillId="0" borderId="7" xfId="0" applyFont="1" applyBorder="1" applyAlignment="1">
      <alignment horizontal="right"/>
    </xf>
    <xf numFmtId="0" fontId="34" fillId="0" borderId="5" xfId="0" applyFont="1" applyBorder="1" applyAlignment="1">
      <alignment horizontal="right"/>
    </xf>
    <xf numFmtId="0" fontId="14" fillId="0" borderId="14" xfId="0" applyFont="1" applyBorder="1"/>
    <xf numFmtId="0" fontId="0" fillId="0" borderId="14" xfId="0" applyBorder="1"/>
    <xf numFmtId="0" fontId="24" fillId="0" borderId="24" xfId="0" applyFont="1" applyBorder="1" applyAlignment="1">
      <alignment horizontal="right"/>
    </xf>
    <xf numFmtId="0" fontId="34" fillId="0" borderId="32" xfId="0" applyFont="1" applyBorder="1" applyAlignment="1">
      <alignment horizontal="right"/>
    </xf>
    <xf numFmtId="164" fontId="2" fillId="0" borderId="14" xfId="0" applyNumberFormat="1" applyFont="1" applyBorder="1" applyAlignment="1">
      <alignment horizontal="center"/>
    </xf>
    <xf numFmtId="0" fontId="18" fillId="0" borderId="14" xfId="0" applyFont="1" applyBorder="1" applyAlignment="1">
      <alignment horizontal="center"/>
    </xf>
    <xf numFmtId="0" fontId="23" fillId="0" borderId="9" xfId="0" applyFont="1" applyBorder="1" applyAlignment="1">
      <alignment horizontal="center"/>
    </xf>
    <xf numFmtId="165" fontId="24" fillId="0" borderId="14" xfId="1" applyNumberFormat="1" applyFont="1" applyBorder="1" applyAlignment="1" applyProtection="1">
      <alignment horizontal="center"/>
    </xf>
    <xf numFmtId="0" fontId="24" fillId="0" borderId="14" xfId="0" applyFont="1" applyBorder="1" applyAlignment="1">
      <alignment horizontal="center"/>
    </xf>
    <xf numFmtId="0" fontId="40" fillId="0" borderId="0" xfId="0" applyFont="1" applyAlignment="1">
      <alignment horizontal="center"/>
    </xf>
    <xf numFmtId="0" fontId="24" fillId="0" borderId="0" xfId="0" applyFont="1" applyAlignment="1">
      <alignment horizontal="right"/>
    </xf>
    <xf numFmtId="0" fontId="31" fillId="0" borderId="0" xfId="0" applyFont="1" applyAlignment="1">
      <alignment horizontal="center"/>
    </xf>
    <xf numFmtId="0" fontId="18" fillId="0" borderId="7" xfId="0" applyFont="1" applyBorder="1" applyAlignment="1">
      <alignment horizontal="right"/>
    </xf>
    <xf numFmtId="0" fontId="23" fillId="0" borderId="11" xfId="0" applyFont="1" applyBorder="1" applyAlignment="1">
      <alignment horizontal="center"/>
    </xf>
    <xf numFmtId="0" fontId="23" fillId="0" borderId="15" xfId="0" applyFont="1" applyBorder="1" applyAlignment="1">
      <alignment horizontal="center"/>
    </xf>
    <xf numFmtId="0" fontId="23" fillId="0" borderId="12" xfId="0" applyFont="1" applyBorder="1" applyAlignment="1">
      <alignment horizontal="center"/>
    </xf>
    <xf numFmtId="0" fontId="18" fillId="0" borderId="11" xfId="0" applyFont="1" applyBorder="1" applyAlignment="1">
      <alignment horizontal="center" vertical="center"/>
    </xf>
    <xf numFmtId="0" fontId="18" fillId="0" borderId="15" xfId="0" applyFont="1" applyBorder="1" applyAlignment="1">
      <alignment horizontal="center" vertical="center"/>
    </xf>
    <xf numFmtId="0" fontId="18" fillId="0" borderId="12"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4" xfId="0" applyFont="1" applyBorder="1" applyAlignment="1">
      <alignment horizontal="left" indent="1"/>
    </xf>
    <xf numFmtId="0" fontId="14" fillId="2" borderId="7" xfId="0" applyFont="1" applyFill="1" applyBorder="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8" fillId="0" borderId="4" xfId="0" applyFont="1" applyBorder="1" applyAlignment="1">
      <alignment horizontal="right" vertical="center"/>
    </xf>
    <xf numFmtId="0" fontId="18" fillId="0" borderId="7" xfId="0" applyFont="1" applyBorder="1" applyAlignment="1">
      <alignment horizontal="right" vertical="center"/>
    </xf>
    <xf numFmtId="164" fontId="2" fillId="0" borderId="14" xfId="0" applyNumberFormat="1" applyFont="1" applyBorder="1" applyAlignment="1">
      <alignment horizontal="center" vertical="center"/>
    </xf>
    <xf numFmtId="0" fontId="2" fillId="0" borderId="4" xfId="0" applyFont="1" applyBorder="1" applyAlignment="1">
      <alignment horizontal="center"/>
    </xf>
    <xf numFmtId="0" fontId="2" fillId="0" borderId="7" xfId="0" applyFont="1" applyBorder="1" applyAlignment="1">
      <alignment horizontal="center"/>
    </xf>
    <xf numFmtId="0" fontId="2" fillId="0" borderId="5" xfId="0" applyFont="1" applyBorder="1" applyAlignment="1">
      <alignment horizontal="center"/>
    </xf>
    <xf numFmtId="49" fontId="23" fillId="2" borderId="9" xfId="0" applyNumberFormat="1" applyFont="1" applyFill="1" applyBorder="1" applyAlignment="1" applyProtection="1">
      <alignment horizontal="center"/>
      <protection locked="0"/>
    </xf>
    <xf numFmtId="0" fontId="6" fillId="0" borderId="0" xfId="0" applyFont="1" applyAlignment="1">
      <alignment horizontal="right"/>
    </xf>
    <xf numFmtId="164" fontId="18" fillId="0" borderId="14" xfId="0" applyNumberFormat="1" applyFont="1" applyBorder="1" applyAlignment="1">
      <alignment horizontal="center" vertical="center"/>
    </xf>
    <xf numFmtId="9" fontId="0" fillId="2" borderId="4" xfId="0" applyNumberFormat="1" applyFill="1" applyBorder="1" applyAlignment="1" applyProtection="1">
      <alignment horizontal="center"/>
      <protection locked="0"/>
    </xf>
    <xf numFmtId="9" fontId="0" fillId="2" borderId="5" xfId="0" applyNumberFormat="1" applyFill="1" applyBorder="1" applyAlignment="1" applyProtection="1">
      <alignment horizontal="center"/>
      <protection locked="0"/>
    </xf>
    <xf numFmtId="0" fontId="31" fillId="0" borderId="7" xfId="0" applyFont="1" applyBorder="1"/>
    <xf numFmtId="0" fontId="14" fillId="2" borderId="7" xfId="0" applyFont="1" applyFill="1" applyBorder="1" applyProtection="1">
      <protection locked="0"/>
    </xf>
    <xf numFmtId="0" fontId="18" fillId="0" borderId="4" xfId="0" applyFont="1" applyBorder="1"/>
    <xf numFmtId="0" fontId="24" fillId="0" borderId="1" xfId="0" applyFont="1" applyBorder="1"/>
    <xf numFmtId="0" fontId="24" fillId="0" borderId="2" xfId="0" applyFont="1" applyBorder="1"/>
    <xf numFmtId="0" fontId="0" fillId="3" borderId="7" xfId="0" applyFill="1" applyBorder="1" applyProtection="1">
      <protection locked="0"/>
    </xf>
    <xf numFmtId="0" fontId="0" fillId="3" borderId="5" xfId="0" applyFill="1" applyBorder="1" applyProtection="1">
      <protection locked="0"/>
    </xf>
    <xf numFmtId="0" fontId="31" fillId="0" borderId="4" xfId="0" applyFont="1" applyBorder="1" applyAlignment="1">
      <alignment horizontal="left"/>
    </xf>
    <xf numFmtId="0" fontId="31" fillId="0" borderId="7" xfId="0" applyFont="1" applyBorder="1" applyAlignment="1">
      <alignment horizontal="left"/>
    </xf>
    <xf numFmtId="0" fontId="31" fillId="0" borderId="44" xfId="0" applyFont="1" applyBorder="1" applyAlignment="1">
      <alignment horizontal="left"/>
    </xf>
    <xf numFmtId="0" fontId="18" fillId="0" borderId="4" xfId="0" applyFont="1" applyBorder="1" applyAlignment="1">
      <alignment horizontal="left" indent="1"/>
    </xf>
    <xf numFmtId="0" fontId="18" fillId="0" borderId="7" xfId="0" applyFont="1" applyBorder="1" applyAlignment="1">
      <alignment horizontal="left" indent="1"/>
    </xf>
    <xf numFmtId="0" fontId="18" fillId="0" borderId="5" xfId="0" applyFont="1" applyBorder="1" applyAlignment="1">
      <alignment horizontal="left" indent="1"/>
    </xf>
    <xf numFmtId="0" fontId="35" fillId="0" borderId="4" xfId="0" applyFont="1" applyBorder="1" applyAlignment="1">
      <alignment horizontal="center" wrapText="1"/>
    </xf>
    <xf numFmtId="0" fontId="35" fillId="0" borderId="5" xfId="0" applyFont="1" applyBorder="1" applyAlignment="1">
      <alignment horizontal="center" wrapText="1"/>
    </xf>
    <xf numFmtId="0" fontId="24" fillId="0" borderId="4" xfId="0" applyFont="1" applyBorder="1"/>
    <xf numFmtId="0" fontId="24" fillId="0" borderId="7" xfId="0" applyFont="1" applyBorder="1"/>
    <xf numFmtId="0" fontId="24" fillId="0" borderId="44" xfId="0" applyFont="1" applyBorder="1"/>
    <xf numFmtId="0" fontId="14" fillId="2" borderId="44" xfId="0" applyFont="1" applyFill="1" applyBorder="1" applyProtection="1">
      <protection locked="0"/>
    </xf>
    <xf numFmtId="165" fontId="14" fillId="0" borderId="7" xfId="1" applyNumberFormat="1" applyFont="1" applyFill="1" applyBorder="1" applyProtection="1"/>
    <xf numFmtId="0" fontId="17" fillId="0" borderId="0" xfId="0" applyFont="1" applyAlignment="1">
      <alignment horizontal="center"/>
    </xf>
    <xf numFmtId="0" fontId="20" fillId="2" borderId="7" xfId="0" applyFont="1" applyFill="1" applyBorder="1" applyAlignment="1" applyProtection="1">
      <alignment horizontal="right" indent="1"/>
      <protection locked="0"/>
    </xf>
    <xf numFmtId="0" fontId="31" fillId="0" borderId="4" xfId="0" applyFont="1" applyBorder="1"/>
    <xf numFmtId="0" fontId="31" fillId="0" borderId="5" xfId="0" applyFont="1" applyBorder="1"/>
    <xf numFmtId="0" fontId="20" fillId="0" borderId="10" xfId="0" applyFont="1" applyBorder="1"/>
    <xf numFmtId="0" fontId="14" fillId="0" borderId="4" xfId="0" applyFont="1" applyBorder="1" applyAlignment="1">
      <alignment horizontal="left" indent="2"/>
    </xf>
    <xf numFmtId="0" fontId="14" fillId="0" borderId="5" xfId="0" applyFont="1" applyBorder="1" applyAlignment="1">
      <alignment horizontal="left" indent="2"/>
    </xf>
    <xf numFmtId="178" fontId="19" fillId="0" borderId="7" xfId="0" applyNumberFormat="1" applyFont="1" applyBorder="1" applyAlignment="1">
      <alignment horizontal="center"/>
    </xf>
    <xf numFmtId="178" fontId="19" fillId="0" borderId="5" xfId="0" applyNumberFormat="1" applyFont="1" applyBorder="1" applyAlignment="1">
      <alignment horizontal="center"/>
    </xf>
    <xf numFmtId="0" fontId="19" fillId="0" borderId="7" xfId="0" applyFont="1" applyBorder="1" applyAlignment="1">
      <alignment horizontal="left"/>
    </xf>
    <xf numFmtId="0" fontId="19" fillId="0" borderId="5" xfId="0" applyFont="1" applyBorder="1" applyAlignment="1">
      <alignment horizontal="left"/>
    </xf>
    <xf numFmtId="0" fontId="10" fillId="0" borderId="14" xfId="0" applyFont="1" applyBorder="1" applyAlignment="1">
      <alignment horizontal="right"/>
    </xf>
    <xf numFmtId="0" fontId="8" fillId="0" borderId="14" xfId="3" applyBorder="1" applyAlignment="1" applyProtection="1">
      <alignment horizontal="right"/>
    </xf>
    <xf numFmtId="0" fontId="13" fillId="0" borderId="4" xfId="0" applyFont="1" applyBorder="1"/>
    <xf numFmtId="0" fontId="13" fillId="0" borderId="5" xfId="0" applyFont="1" applyBorder="1"/>
    <xf numFmtId="0" fontId="20" fillId="0" borderId="7" xfId="0" applyFont="1" applyBorder="1" applyAlignment="1">
      <alignment horizontal="right" indent="1"/>
    </xf>
    <xf numFmtId="0" fontId="19" fillId="0" borderId="14" xfId="0" applyFont="1" applyBorder="1" applyAlignment="1">
      <alignment horizontal="center" vertical="center"/>
    </xf>
    <xf numFmtId="0" fontId="10" fillId="0" borderId="14" xfId="0" applyFont="1" applyBorder="1" applyAlignment="1">
      <alignment horizontal="center" wrapText="1"/>
    </xf>
    <xf numFmtId="0" fontId="0" fillId="0" borderId="4" xfId="0" applyBorder="1" applyAlignment="1">
      <alignment horizontal="left" indent="2"/>
    </xf>
    <xf numFmtId="0" fontId="0" fillId="0" borderId="5" xfId="0" applyBorder="1" applyAlignment="1">
      <alignment horizontal="left" indent="2"/>
    </xf>
    <xf numFmtId="0" fontId="0" fillId="0" borderId="14" xfId="0" applyBorder="1" applyAlignment="1">
      <alignment horizontal="left" wrapText="1" indent="1"/>
    </xf>
    <xf numFmtId="0" fontId="61" fillId="2" borderId="14" xfId="0" applyFont="1" applyFill="1" applyBorder="1" applyProtection="1">
      <protection locked="0"/>
    </xf>
    <xf numFmtId="0" fontId="61" fillId="2" borderId="14" xfId="0" applyFont="1" applyFill="1" applyBorder="1" applyAlignment="1" applyProtection="1">
      <alignment horizontal="center"/>
      <protection locked="0"/>
    </xf>
    <xf numFmtId="0" fontId="61" fillId="2" borderId="4" xfId="0" applyFont="1" applyFill="1" applyBorder="1" applyAlignment="1" applyProtection="1">
      <alignment horizontal="center"/>
      <protection locked="0"/>
    </xf>
    <xf numFmtId="0" fontId="61" fillId="2" borderId="5" xfId="0" applyFont="1" applyFill="1" applyBorder="1" applyAlignment="1" applyProtection="1">
      <alignment horizontal="center"/>
      <protection locked="0"/>
    </xf>
    <xf numFmtId="179" fontId="61" fillId="2" borderId="4" xfId="0" applyNumberFormat="1" applyFont="1" applyFill="1" applyBorder="1" applyAlignment="1" applyProtection="1">
      <alignment horizontal="center"/>
      <protection locked="0"/>
    </xf>
    <xf numFmtId="179" fontId="61" fillId="2" borderId="7" xfId="0" applyNumberFormat="1" applyFont="1" applyFill="1" applyBorder="1" applyAlignment="1" applyProtection="1">
      <alignment horizontal="center"/>
      <protection locked="0"/>
    </xf>
    <xf numFmtId="179" fontId="61" fillId="2" borderId="14" xfId="0" applyNumberFormat="1" applyFont="1" applyFill="1" applyBorder="1" applyAlignment="1" applyProtection="1">
      <alignment horizontal="center"/>
      <protection locked="0"/>
    </xf>
    <xf numFmtId="0" fontId="38" fillId="0" borderId="7" xfId="0" applyFont="1" applyBorder="1" applyAlignment="1">
      <alignment horizontal="right" indent="1"/>
    </xf>
    <xf numFmtId="0" fontId="61" fillId="2" borderId="4" xfId="0" applyFont="1" applyFill="1" applyBorder="1" applyProtection="1">
      <protection locked="0"/>
    </xf>
    <xf numFmtId="0" fontId="61" fillId="2" borderId="7" xfId="0" applyFont="1" applyFill="1" applyBorder="1" applyProtection="1">
      <protection locked="0"/>
    </xf>
    <xf numFmtId="0" fontId="61" fillId="2" borderId="5" xfId="0" applyFont="1" applyFill="1" applyBorder="1" applyProtection="1">
      <protection locked="0"/>
    </xf>
    <xf numFmtId="0" fontId="2" fillId="0" borderId="31" xfId="0" applyFont="1" applyBorder="1"/>
    <xf numFmtId="0" fontId="61" fillId="0" borderId="14" xfId="0" applyFont="1" applyBorder="1" applyAlignment="1">
      <alignment horizontal="center" vertical="center" wrapText="1"/>
    </xf>
    <xf numFmtId="0" fontId="35" fillId="0" borderId="14" xfId="0" applyFont="1" applyBorder="1" applyAlignment="1">
      <alignment horizontal="left"/>
    </xf>
    <xf numFmtId="2" fontId="0" fillId="0" borderId="4" xfId="0" applyNumberFormat="1" applyBorder="1" applyAlignment="1">
      <alignment horizontal="left" wrapText="1" indent="1"/>
    </xf>
    <xf numFmtId="2" fontId="0" fillId="0" borderId="7" xfId="0" applyNumberFormat="1" applyBorder="1" applyAlignment="1">
      <alignment horizontal="left" wrapText="1" indent="1"/>
    </xf>
    <xf numFmtId="2" fontId="0" fillId="0" borderId="5" xfId="0" applyNumberFormat="1" applyBorder="1" applyAlignment="1">
      <alignment horizontal="left" wrapText="1" indent="1"/>
    </xf>
    <xf numFmtId="0" fontId="14" fillId="0" borderId="0" xfId="0" applyFont="1" applyAlignment="1">
      <alignment vertical="center" wrapText="1"/>
    </xf>
    <xf numFmtId="0" fontId="14" fillId="0" borderId="14" xfId="0" applyFont="1" applyBorder="1" applyAlignment="1">
      <alignment horizontal="right"/>
    </xf>
    <xf numFmtId="0" fontId="14" fillId="0" borderId="4" xfId="0" applyFont="1" applyBorder="1" applyAlignment="1">
      <alignment horizontal="left" wrapText="1" indent="1"/>
    </xf>
    <xf numFmtId="0" fontId="14" fillId="0" borderId="7" xfId="0" applyFont="1" applyBorder="1" applyAlignment="1">
      <alignment horizontal="left" wrapText="1" indent="1"/>
    </xf>
    <xf numFmtId="0" fontId="24" fillId="0" borderId="0" xfId="0" applyFont="1" applyAlignment="1">
      <alignment horizontal="left" indent="1"/>
    </xf>
    <xf numFmtId="0" fontId="14" fillId="0" borderId="14" xfId="0" applyFont="1" applyBorder="1" applyAlignment="1">
      <alignment horizontal="left" wrapText="1" indent="1"/>
    </xf>
    <xf numFmtId="0" fontId="0" fillId="0" borderId="7" xfId="0" applyBorder="1" applyAlignment="1">
      <alignment horizontal="center" wrapText="1"/>
    </xf>
    <xf numFmtId="0" fontId="0" fillId="0" borderId="5" xfId="0" applyBorder="1" applyAlignment="1">
      <alignment horizontal="center" wrapText="1"/>
    </xf>
    <xf numFmtId="178" fontId="0" fillId="2" borderId="14" xfId="0" applyNumberFormat="1" applyFill="1" applyBorder="1" applyAlignment="1" applyProtection="1">
      <alignment horizontal="left" wrapText="1" indent="1"/>
      <protection locked="0"/>
    </xf>
    <xf numFmtId="1" fontId="18" fillId="0" borderId="14" xfId="0" applyNumberFormat="1" applyFont="1" applyBorder="1" applyAlignment="1">
      <alignment horizontal="center"/>
    </xf>
    <xf numFmtId="0" fontId="31" fillId="0" borderId="0" xfId="0" applyFont="1" applyAlignment="1">
      <alignment horizontal="center" wrapText="1"/>
    </xf>
    <xf numFmtId="0" fontId="0" fillId="0" borderId="0" xfId="0" applyAlignment="1">
      <alignment horizontal="center" wrapText="1"/>
    </xf>
    <xf numFmtId="0" fontId="2" fillId="0" borderId="36" xfId="0" applyFont="1" applyBorder="1" applyAlignment="1">
      <alignment horizontal="left"/>
    </xf>
    <xf numFmtId="0" fontId="2" fillId="0" borderId="14" xfId="0" applyFont="1" applyBorder="1" applyAlignment="1">
      <alignment horizontal="left"/>
    </xf>
    <xf numFmtId="0" fontId="24" fillId="0" borderId="9" xfId="0" applyFont="1" applyBorder="1" applyAlignment="1">
      <alignment horizontal="center"/>
    </xf>
    <xf numFmtId="0" fontId="0" fillId="0" borderId="15" xfId="0" applyBorder="1" applyAlignment="1">
      <alignment horizontal="left" indent="2"/>
    </xf>
    <xf numFmtId="0" fontId="0" fillId="0" borderId="12" xfId="0" applyBorder="1" applyAlignment="1">
      <alignment horizontal="left" indent="2"/>
    </xf>
    <xf numFmtId="0" fontId="14" fillId="0" borderId="7" xfId="0" applyFont="1" applyBorder="1" applyAlignment="1">
      <alignment horizontal="left" indent="2"/>
    </xf>
    <xf numFmtId="0" fontId="35" fillId="0" borderId="11" xfId="0" applyFont="1" applyBorder="1" applyAlignment="1">
      <alignment horizontal="left"/>
    </xf>
    <xf numFmtId="0" fontId="35" fillId="0" borderId="15" xfId="0" applyFont="1" applyBorder="1" applyAlignment="1">
      <alignment horizontal="left"/>
    </xf>
    <xf numFmtId="0" fontId="35" fillId="0" borderId="7" xfId="0" applyFont="1" applyBorder="1" applyAlignment="1">
      <alignment horizontal="left"/>
    </xf>
    <xf numFmtId="0" fontId="35" fillId="0" borderId="5" xfId="0" applyFont="1" applyBorder="1" applyAlignment="1">
      <alignment horizontal="left"/>
    </xf>
    <xf numFmtId="0" fontId="14" fillId="0" borderId="14" xfId="0" applyFont="1" applyBorder="1" applyAlignment="1">
      <alignment horizontal="left" indent="2"/>
    </xf>
    <xf numFmtId="0" fontId="38" fillId="0" borderId="9" xfId="0" applyFont="1" applyBorder="1" applyAlignment="1">
      <alignment horizontal="right" indent="1"/>
    </xf>
    <xf numFmtId="0" fontId="14" fillId="0" borderId="9" xfId="0" applyFont="1" applyBorder="1"/>
    <xf numFmtId="0" fontId="35" fillId="0" borderId="4" xfId="0" applyFont="1" applyBorder="1" applyAlignment="1">
      <alignment horizontal="left"/>
    </xf>
    <xf numFmtId="0" fontId="18" fillId="0" borderId="36" xfId="0" applyFont="1" applyBorder="1"/>
    <xf numFmtId="0" fontId="18" fillId="0" borderId="14" xfId="0" applyFont="1" applyBorder="1"/>
    <xf numFmtId="0" fontId="18" fillId="0" borderId="33" xfId="0" applyFont="1" applyBorder="1"/>
    <xf numFmtId="0" fontId="18" fillId="0" borderId="34" xfId="0" applyFont="1" applyBorder="1"/>
    <xf numFmtId="174" fontId="0" fillId="0" borderId="14" xfId="0" applyNumberFormat="1" applyBorder="1" applyAlignment="1">
      <alignment horizontal="left" wrapText="1" indent="1"/>
    </xf>
    <xf numFmtId="1" fontId="0" fillId="0" borderId="14" xfId="0" applyNumberFormat="1" applyBorder="1" applyAlignment="1">
      <alignment horizontal="left" wrapText="1" indent="1"/>
    </xf>
    <xf numFmtId="179" fontId="0" fillId="2" borderId="14" xfId="0" applyNumberFormat="1" applyFill="1" applyBorder="1" applyAlignment="1" applyProtection="1">
      <alignment horizontal="left" wrapText="1" indent="1"/>
      <protection locked="0"/>
    </xf>
    <xf numFmtId="0" fontId="0" fillId="2" borderId="14" xfId="0" applyFill="1" applyBorder="1" applyAlignment="1" applyProtection="1">
      <alignment horizontal="left" wrapText="1" indent="1"/>
      <protection locked="0"/>
    </xf>
    <xf numFmtId="186" fontId="0" fillId="0" borderId="4" xfId="0" applyNumberFormat="1" applyBorder="1" applyAlignment="1">
      <alignment horizontal="left" indent="1"/>
    </xf>
    <xf numFmtId="186" fontId="0" fillId="0" borderId="7" xfId="0" applyNumberFormat="1" applyBorder="1" applyAlignment="1">
      <alignment horizontal="left" indent="1"/>
    </xf>
    <xf numFmtId="186" fontId="0" fillId="0" borderId="5" xfId="0" applyNumberFormat="1" applyBorder="1" applyAlignment="1">
      <alignment horizontal="left" indent="1"/>
    </xf>
    <xf numFmtId="0" fontId="8" fillId="0" borderId="0" xfId="3" applyAlignment="1" applyProtection="1"/>
    <xf numFmtId="0" fontId="10" fillId="0" borderId="0" xfId="0" applyFont="1"/>
    <xf numFmtId="0" fontId="18" fillId="0" borderId="37" xfId="0" applyFont="1" applyBorder="1"/>
    <xf numFmtId="0" fontId="18" fillId="0" borderId="30" xfId="0" applyFont="1" applyBorder="1"/>
    <xf numFmtId="0" fontId="18" fillId="0" borderId="26" xfId="0" applyFont="1" applyBorder="1"/>
    <xf numFmtId="178" fontId="14" fillId="0" borderId="0" xfId="0" applyNumberFormat="1" applyFont="1" applyAlignment="1">
      <alignment horizontal="center"/>
    </xf>
    <xf numFmtId="0" fontId="18" fillId="0" borderId="0" xfId="0" applyFont="1" applyAlignment="1">
      <alignment horizontal="left"/>
    </xf>
    <xf numFmtId="0" fontId="0" fillId="0" borderId="0" xfId="0" applyAlignment="1">
      <alignment vertical="center" wrapText="1"/>
    </xf>
    <xf numFmtId="0" fontId="0" fillId="0" borderId="0" xfId="0" applyProtection="1">
      <protection locked="0"/>
    </xf>
    <xf numFmtId="0" fontId="0" fillId="0" borderId="7" xfId="0" applyBorder="1" applyAlignment="1">
      <alignment horizontal="left"/>
    </xf>
    <xf numFmtId="0" fontId="0" fillId="0" borderId="5" xfId="0" applyBorder="1" applyAlignment="1">
      <alignment horizontal="left"/>
    </xf>
    <xf numFmtId="0" fontId="50" fillId="0" borderId="21" xfId="0" applyFont="1" applyBorder="1" applyAlignment="1">
      <alignment horizontal="center"/>
    </xf>
    <xf numFmtId="178" fontId="50" fillId="2" borderId="0" xfId="0" applyNumberFormat="1" applyFont="1" applyFill="1" applyAlignment="1" applyProtection="1">
      <alignment horizontal="center"/>
      <protection locked="0"/>
    </xf>
    <xf numFmtId="178" fontId="50" fillId="2" borderId="31" xfId="0" applyNumberFormat="1" applyFont="1" applyFill="1" applyBorder="1" applyAlignment="1" applyProtection="1">
      <alignment horizontal="center"/>
      <protection locked="0"/>
    </xf>
    <xf numFmtId="165" fontId="5" fillId="0" borderId="45" xfId="1" applyNumberFormat="1" applyFont="1" applyBorder="1" applyAlignment="1" applyProtection="1">
      <alignment horizontal="center" vertical="center"/>
    </xf>
    <xf numFmtId="165" fontId="5" fillId="0" borderId="46" xfId="1" applyNumberFormat="1" applyFont="1" applyBorder="1" applyAlignment="1" applyProtection="1">
      <alignment horizontal="center" vertical="center"/>
    </xf>
    <xf numFmtId="10" fontId="12" fillId="0" borderId="43" xfId="0" applyNumberFormat="1" applyFont="1" applyBorder="1" applyAlignment="1">
      <alignment horizontal="center" vertical="center"/>
    </xf>
    <xf numFmtId="10" fontId="12" fillId="0" borderId="45" xfId="0" applyNumberFormat="1" applyFont="1" applyBorder="1" applyAlignment="1">
      <alignment horizontal="center" vertical="center"/>
    </xf>
    <xf numFmtId="0" fontId="50" fillId="0" borderId="0" xfId="0" applyFont="1" applyAlignment="1">
      <alignment vertical="center" wrapText="1"/>
    </xf>
    <xf numFmtId="0" fontId="50" fillId="0" borderId="21" xfId="0" applyFont="1" applyBorder="1" applyAlignment="1">
      <alignment horizontal="left"/>
    </xf>
    <xf numFmtId="0" fontId="0" fillId="0" borderId="31" xfId="0" applyBorder="1"/>
    <xf numFmtId="0" fontId="18" fillId="11" borderId="7" xfId="0" applyFont="1" applyFill="1" applyBorder="1" applyAlignment="1">
      <alignment horizontal="center" vertical="center"/>
    </xf>
    <xf numFmtId="0" fontId="18" fillId="11" borderId="5" xfId="0" applyFont="1" applyFill="1" applyBorder="1" applyAlignment="1">
      <alignment horizontal="center" vertical="center"/>
    </xf>
    <xf numFmtId="44" fontId="0" fillId="0" borderId="14" xfId="0" applyNumberFormat="1" applyBorder="1"/>
    <xf numFmtId="42" fontId="0" fillId="0" borderId="14" xfId="0" applyNumberFormat="1" applyBorder="1" applyAlignment="1">
      <alignment horizontal="right"/>
    </xf>
    <xf numFmtId="0" fontId="0" fillId="0" borderId="13" xfId="0" applyBorder="1" applyAlignment="1">
      <alignment horizontal="center"/>
    </xf>
    <xf numFmtId="44" fontId="2" fillId="0" borderId="7" xfId="0" applyNumberFormat="1" applyFont="1" applyBorder="1" applyAlignment="1">
      <alignment horizontal="center"/>
    </xf>
    <xf numFmtId="44" fontId="2" fillId="0" borderId="5" xfId="0" applyNumberFormat="1" applyFont="1" applyBorder="1" applyAlignment="1">
      <alignment horizontal="center"/>
    </xf>
    <xf numFmtId="0" fontId="0" fillId="0" borderId="13" xfId="0" applyBorder="1" applyAlignment="1">
      <alignment horizontal="right"/>
    </xf>
    <xf numFmtId="44" fontId="0" fillId="0" borderId="14" xfId="0" applyNumberFormat="1" applyBorder="1" applyAlignment="1">
      <alignment horizontal="center"/>
    </xf>
    <xf numFmtId="0" fontId="59" fillId="0" borderId="0" xfId="0" applyFont="1" applyAlignment="1">
      <alignment horizontal="center"/>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14" xfId="0" applyFont="1" applyBorder="1" applyAlignment="1">
      <alignment horizontal="center" wrapText="1"/>
    </xf>
    <xf numFmtId="168" fontId="0" fillId="0" borderId="13" xfId="0" applyNumberFormat="1" applyBorder="1" applyAlignment="1">
      <alignment horizontal="center"/>
    </xf>
    <xf numFmtId="168" fontId="0" fillId="0" borderId="14" xfId="0" applyNumberFormat="1" applyBorder="1" applyAlignment="1">
      <alignment horizontal="center"/>
    </xf>
    <xf numFmtId="0" fontId="0" fillId="2" borderId="13" xfId="0" applyFill="1" applyBorder="1" applyAlignment="1" applyProtection="1">
      <alignment horizontal="center"/>
      <protection locked="0"/>
    </xf>
    <xf numFmtId="0" fontId="0" fillId="0" borderId="36" xfId="0" applyBorder="1" applyAlignment="1">
      <alignment horizontal="right"/>
    </xf>
    <xf numFmtId="0" fontId="5" fillId="0" borderId="37" xfId="0" applyFont="1" applyBorder="1" applyAlignment="1">
      <alignment horizontal="right"/>
    </xf>
    <xf numFmtId="0" fontId="5" fillId="0" borderId="30" xfId="0" applyFont="1" applyBorder="1" applyAlignment="1">
      <alignment horizontal="right"/>
    </xf>
    <xf numFmtId="0" fontId="0" fillId="0" borderId="36" xfId="0" applyBorder="1" applyAlignment="1">
      <alignment horizontal="center" vertical="center" wrapText="1"/>
    </xf>
    <xf numFmtId="0" fontId="0" fillId="0" borderId="14" xfId="0" applyBorder="1" applyAlignment="1">
      <alignment horizontal="center" vertical="center" wrapText="1"/>
    </xf>
    <xf numFmtId="0" fontId="8" fillId="0" borderId="36" xfId="3" applyBorder="1" applyAlignment="1">
      <alignment horizontal="center" vertical="center" wrapText="1"/>
    </xf>
    <xf numFmtId="0" fontId="8" fillId="0" borderId="14" xfId="3" applyBorder="1" applyAlignment="1">
      <alignment horizontal="center" vertical="center" wrapText="1"/>
    </xf>
    <xf numFmtId="0" fontId="58" fillId="0" borderId="0" xfId="0" applyFont="1" applyAlignment="1">
      <alignment vertical="center" wrapText="1"/>
    </xf>
    <xf numFmtId="0" fontId="2" fillId="0" borderId="37" xfId="0" applyFont="1" applyBorder="1" applyAlignment="1">
      <alignment horizontal="right" vertical="center" wrapText="1"/>
    </xf>
    <xf numFmtId="0" fontId="2" fillId="0" borderId="30" xfId="0" applyFont="1" applyBorder="1" applyAlignment="1">
      <alignment horizontal="right" vertical="center" wrapText="1"/>
    </xf>
    <xf numFmtId="0" fontId="34" fillId="0" borderId="0" xfId="0" applyFont="1" applyAlignment="1">
      <alignment horizontal="left"/>
    </xf>
    <xf numFmtId="0" fontId="5" fillId="0" borderId="34" xfId="0" applyFont="1" applyBorder="1" applyAlignment="1">
      <alignment horizontal="center"/>
    </xf>
    <xf numFmtId="44" fontId="0" fillId="2" borderId="27" xfId="1" applyFont="1" applyFill="1" applyBorder="1" applyAlignment="1" applyProtection="1">
      <alignment horizontal="center" vertical="center"/>
      <protection locked="0"/>
    </xf>
    <xf numFmtId="0" fontId="0" fillId="0" borderId="36" xfId="0" applyBorder="1" applyAlignment="1">
      <alignment horizontal="center" vertical="center"/>
    </xf>
    <xf numFmtId="44" fontId="0" fillId="2" borderId="14" xfId="1" applyFont="1" applyFill="1" applyBorder="1" applyAlignment="1" applyProtection="1">
      <alignment horizontal="center" vertical="center"/>
      <protection locked="0"/>
    </xf>
    <xf numFmtId="0" fontId="0" fillId="0" borderId="0" xfId="0" applyAlignment="1">
      <alignment horizontal="right"/>
    </xf>
    <xf numFmtId="0" fontId="5" fillId="0" borderId="14" xfId="0" applyFont="1" applyBorder="1" applyAlignment="1">
      <alignment horizontal="center" vertical="center" wrapText="1"/>
    </xf>
    <xf numFmtId="44" fontId="0" fillId="0" borderId="14" xfId="1" applyFont="1" applyFill="1" applyBorder="1" applyProtection="1"/>
    <xf numFmtId="44" fontId="0" fillId="0" borderId="14" xfId="1" applyFont="1" applyFill="1" applyBorder="1" applyAlignment="1" applyProtection="1">
      <alignment horizontal="center"/>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44" fontId="5" fillId="2" borderId="14" xfId="1" applyFont="1" applyFill="1" applyBorder="1" applyAlignment="1" applyProtection="1">
      <alignment vertical="center"/>
      <protection locked="0"/>
    </xf>
    <xf numFmtId="0" fontId="54" fillId="2" borderId="0" xfId="0" applyFont="1" applyFill="1" applyAlignment="1" applyProtection="1">
      <alignment horizontal="center"/>
      <protection locked="0"/>
    </xf>
    <xf numFmtId="0" fontId="2" fillId="0" borderId="7" xfId="0" applyFont="1" applyBorder="1" applyAlignment="1">
      <alignment horizontal="left"/>
    </xf>
    <xf numFmtId="0" fontId="2" fillId="0" borderId="5" xfId="0" applyFont="1" applyBorder="1" applyAlignment="1">
      <alignment horizontal="left"/>
    </xf>
    <xf numFmtId="178" fontId="2" fillId="0" borderId="16" xfId="0" applyNumberFormat="1" applyFont="1" applyBorder="1" applyAlignment="1">
      <alignment horizontal="center"/>
    </xf>
    <xf numFmtId="0" fontId="6" fillId="0" borderId="9" xfId="0" applyFont="1" applyBorder="1" applyAlignment="1">
      <alignment horizontal="center"/>
    </xf>
    <xf numFmtId="0" fontId="2" fillId="0" borderId="62" xfId="0" applyFont="1" applyBorder="1" applyAlignment="1">
      <alignment horizontal="center"/>
    </xf>
    <xf numFmtId="0" fontId="2" fillId="0" borderId="63" xfId="0" applyFont="1" applyBorder="1" applyAlignment="1">
      <alignment horizontal="center"/>
    </xf>
    <xf numFmtId="0" fontId="2" fillId="0" borderId="64" xfId="0" applyFont="1" applyBorder="1" applyAlignment="1">
      <alignment horizontal="center"/>
    </xf>
    <xf numFmtId="0" fontId="2" fillId="0" borderId="12" xfId="0" applyFont="1" applyBorder="1" applyAlignment="1">
      <alignment horizontal="center" wrapText="1"/>
    </xf>
    <xf numFmtId="0" fontId="2" fillId="0" borderId="10" xfId="0" applyFont="1" applyBorder="1" applyAlignment="1">
      <alignment horizontal="center" wrapText="1"/>
    </xf>
    <xf numFmtId="0" fontId="2" fillId="0" borderId="49" xfId="0" applyFont="1" applyBorder="1" applyAlignment="1">
      <alignment horizontal="right"/>
    </xf>
    <xf numFmtId="0" fontId="2" fillId="0" borderId="40" xfId="0" applyFont="1" applyBorder="1" applyAlignment="1">
      <alignment horizontal="right"/>
    </xf>
    <xf numFmtId="0" fontId="2" fillId="0" borderId="47" xfId="0" applyFont="1" applyBorder="1" applyAlignment="1">
      <alignment horizontal="right"/>
    </xf>
    <xf numFmtId="37" fontId="2" fillId="0" borderId="4" xfId="0" applyNumberFormat="1" applyFont="1" applyBorder="1" applyAlignment="1">
      <alignment horizontal="center"/>
    </xf>
    <xf numFmtId="37" fontId="2" fillId="0" borderId="5" xfId="0" applyNumberFormat="1" applyFont="1" applyBorder="1" applyAlignment="1">
      <alignment horizontal="center"/>
    </xf>
    <xf numFmtId="0" fontId="51" fillId="0" borderId="0" xfId="0" applyFont="1" applyAlignment="1">
      <alignment horizontal="left"/>
    </xf>
    <xf numFmtId="0" fontId="52" fillId="0" borderId="0" xfId="0" applyFont="1" applyAlignment="1">
      <alignment horizontal="left"/>
    </xf>
    <xf numFmtId="0" fontId="0" fillId="0" borderId="0" xfId="0" applyAlignment="1">
      <alignment horizontal="left"/>
    </xf>
    <xf numFmtId="0" fontId="0" fillId="0" borderId="14" xfId="0" applyBorder="1" applyAlignment="1">
      <alignment horizontal="center" wrapText="1"/>
    </xf>
    <xf numFmtId="0" fontId="2" fillId="2" borderId="14" xfId="0" applyFont="1" applyFill="1" applyBorder="1" applyAlignment="1" applyProtection="1">
      <alignment horizontal="center" vertical="center"/>
      <protection locked="0"/>
    </xf>
    <xf numFmtId="0" fontId="2" fillId="0" borderId="14"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2" borderId="4" xfId="0"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protection locked="0"/>
    </xf>
    <xf numFmtId="0" fontId="0" fillId="0" borderId="4" xfId="0" applyBorder="1" applyAlignment="1">
      <alignment vertical="center"/>
    </xf>
    <xf numFmtId="0" fontId="0" fillId="0" borderId="7" xfId="0" applyBorder="1" applyAlignment="1">
      <alignment vertical="center"/>
    </xf>
    <xf numFmtId="3" fontId="0" fillId="2" borderId="7" xfId="0" applyNumberFormat="1" applyFill="1" applyBorder="1" applyAlignment="1" applyProtection="1">
      <alignment horizontal="center"/>
      <protection locked="0"/>
    </xf>
    <xf numFmtId="0" fontId="0" fillId="0" borderId="4" xfId="0" applyBorder="1" applyAlignment="1">
      <alignment vertical="center" wrapText="1"/>
    </xf>
    <xf numFmtId="0" fontId="0" fillId="0" borderId="7" xfId="0" applyBorder="1" applyAlignment="1">
      <alignment vertical="center" wrapText="1"/>
    </xf>
    <xf numFmtId="0" fontId="2" fillId="0" borderId="8" xfId="0" applyFont="1" applyBorder="1" applyAlignment="1">
      <alignment horizontal="center"/>
    </xf>
    <xf numFmtId="0" fontId="2" fillId="0" borderId="10" xfId="0" applyFont="1" applyBorder="1" applyAlignment="1">
      <alignment horizontal="center"/>
    </xf>
    <xf numFmtId="0" fontId="2" fillId="2" borderId="8" xfId="0" applyFont="1" applyFill="1" applyBorder="1" applyAlignment="1" applyProtection="1">
      <alignment horizontal="center"/>
      <protection locked="0"/>
    </xf>
    <xf numFmtId="0" fontId="2" fillId="2" borderId="10" xfId="0" applyFont="1" applyFill="1" applyBorder="1" applyAlignment="1" applyProtection="1">
      <alignment horizontal="center"/>
      <protection locked="0"/>
    </xf>
    <xf numFmtId="0" fontId="0" fillId="0" borderId="11" xfId="0" applyBorder="1" applyAlignment="1">
      <alignment horizontal="center"/>
    </xf>
    <xf numFmtId="0" fontId="0" fillId="0" borderId="12" xfId="0" applyBorder="1" applyAlignment="1">
      <alignment horizontal="center"/>
    </xf>
    <xf numFmtId="0" fontId="0" fillId="0" borderId="8" xfId="0" applyBorder="1" applyAlignment="1">
      <alignment horizontal="right"/>
    </xf>
    <xf numFmtId="0" fontId="0" fillId="0" borderId="9" xfId="0" applyBorder="1" applyAlignment="1">
      <alignment horizontal="right"/>
    </xf>
    <xf numFmtId="0" fontId="0" fillId="0" borderId="15" xfId="0" applyBorder="1" applyAlignment="1">
      <alignment horizontal="center"/>
    </xf>
    <xf numFmtId="0" fontId="2" fillId="0" borderId="9" xfId="0" applyFont="1" applyBorder="1" applyAlignment="1">
      <alignment horizontal="left"/>
    </xf>
    <xf numFmtId="0" fontId="2" fillId="0" borderId="10" xfId="0" applyFont="1" applyBorder="1" applyAlignment="1">
      <alignment horizontal="left"/>
    </xf>
    <xf numFmtId="0" fontId="0" fillId="0" borderId="8" xfId="0" applyBorder="1" applyAlignment="1">
      <alignment horizontal="left" vertical="center" indent="4"/>
    </xf>
    <xf numFmtId="0" fontId="0" fillId="0" borderId="9" xfId="0" applyBorder="1" applyAlignment="1">
      <alignment horizontal="left" vertical="center" indent="4"/>
    </xf>
    <xf numFmtId="0" fontId="0" fillId="0" borderId="10" xfId="0" applyBorder="1" applyAlignment="1">
      <alignment horizontal="left" vertical="center" indent="4"/>
    </xf>
    <xf numFmtId="0" fontId="0" fillId="0" borderId="6" xfId="0" applyBorder="1" applyAlignment="1">
      <alignment horizontal="left" vertical="center" indent="4"/>
    </xf>
    <xf numFmtId="0" fontId="0" fillId="0" borderId="0" xfId="0" applyAlignment="1">
      <alignment horizontal="left" vertical="center" indent="4"/>
    </xf>
    <xf numFmtId="0" fontId="0" fillId="0" borderId="12" xfId="0" applyBorder="1" applyAlignment="1">
      <alignment horizontal="left" vertical="center" indent="4"/>
    </xf>
    <xf numFmtId="0" fontId="0" fillId="0" borderId="24" xfId="0" applyBorder="1" applyAlignment="1">
      <alignment horizontal="left" vertical="center" indent="4"/>
    </xf>
    <xf numFmtId="0" fontId="0" fillId="0" borderId="11" xfId="0" applyBorder="1" applyAlignment="1">
      <alignment vertical="center"/>
    </xf>
    <xf numFmtId="0" fontId="0" fillId="0" borderId="15" xfId="0" applyBorder="1" applyAlignment="1">
      <alignment vertical="center"/>
    </xf>
    <xf numFmtId="0" fontId="0" fillId="0" borderId="12" xfId="0" applyBorder="1" applyAlignment="1">
      <alignment vertical="center"/>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2" fillId="0" borderId="31" xfId="0" applyFont="1" applyBorder="1" applyAlignment="1">
      <alignment horizontal="center"/>
    </xf>
    <xf numFmtId="0" fontId="0" fillId="2" borderId="5" xfId="0" applyFill="1" applyBorder="1" applyAlignment="1" applyProtection="1">
      <alignment horizontal="center"/>
      <protection locked="0"/>
    </xf>
    <xf numFmtId="0" fontId="0" fillId="0" borderId="70" xfId="0" applyBorder="1" applyAlignment="1">
      <alignment horizontal="center" vertical="center" wrapText="1"/>
    </xf>
    <xf numFmtId="0" fontId="0" fillId="0" borderId="5" xfId="0" applyBorder="1" applyAlignment="1">
      <alignment horizontal="left" vertical="center" indent="4"/>
    </xf>
    <xf numFmtId="0" fontId="2" fillId="0" borderId="0" xfId="0" applyFont="1"/>
    <xf numFmtId="0" fontId="5" fillId="8" borderId="41" xfId="0" applyFont="1" applyFill="1" applyBorder="1" applyAlignment="1">
      <alignment horizontal="center"/>
    </xf>
    <xf numFmtId="0" fontId="5" fillId="8" borderId="40" xfId="0" applyFont="1" applyFill="1" applyBorder="1" applyAlignment="1">
      <alignment horizontal="center"/>
    </xf>
    <xf numFmtId="0" fontId="5" fillId="8" borderId="42" xfId="0" applyFont="1" applyFill="1" applyBorder="1" applyAlignment="1">
      <alignment horizontal="center"/>
    </xf>
    <xf numFmtId="0" fontId="5" fillId="0" borderId="26" xfId="0" applyFont="1" applyBorder="1" applyAlignment="1">
      <alignment horizontal="center" vertical="center"/>
    </xf>
    <xf numFmtId="0" fontId="5" fillId="0" borderId="7" xfId="0" applyFont="1" applyBorder="1" applyAlignment="1">
      <alignment horizontal="center" vertical="center"/>
    </xf>
    <xf numFmtId="0" fontId="5" fillId="0" borderId="44" xfId="0" applyFont="1" applyBorder="1" applyAlignment="1">
      <alignment horizontal="center" vertical="center"/>
    </xf>
    <xf numFmtId="0" fontId="5" fillId="5" borderId="41" xfId="0" applyFont="1" applyFill="1" applyBorder="1" applyAlignment="1">
      <alignment horizontal="center"/>
    </xf>
    <xf numFmtId="0" fontId="5" fillId="5" borderId="40" xfId="0" applyFont="1" applyFill="1" applyBorder="1" applyAlignment="1">
      <alignment horizontal="center"/>
    </xf>
    <xf numFmtId="0" fontId="5" fillId="5" borderId="42" xfId="0" applyFont="1" applyFill="1" applyBorder="1" applyAlignment="1">
      <alignment horizontal="center"/>
    </xf>
    <xf numFmtId="0" fontId="5" fillId="6" borderId="41" xfId="0" applyFont="1" applyFill="1" applyBorder="1" applyAlignment="1">
      <alignment horizontal="center"/>
    </xf>
    <xf numFmtId="0" fontId="5" fillId="6" borderId="40" xfId="0" applyFont="1" applyFill="1" applyBorder="1" applyAlignment="1">
      <alignment horizontal="center"/>
    </xf>
    <xf numFmtId="0" fontId="5" fillId="6" borderId="42" xfId="0" applyFont="1" applyFill="1" applyBorder="1" applyAlignment="1">
      <alignment horizontal="center"/>
    </xf>
    <xf numFmtId="0" fontId="5" fillId="7" borderId="41" xfId="0" applyFont="1" applyFill="1" applyBorder="1" applyAlignment="1">
      <alignment horizontal="center"/>
    </xf>
    <xf numFmtId="0" fontId="5" fillId="7" borderId="40" xfId="0" applyFont="1" applyFill="1" applyBorder="1" applyAlignment="1">
      <alignment horizontal="center"/>
    </xf>
    <xf numFmtId="0" fontId="5" fillId="7" borderId="42" xfId="0" applyFont="1" applyFill="1" applyBorder="1" applyAlignment="1">
      <alignment horizontal="center"/>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61" xfId="0" applyFont="1" applyBorder="1" applyAlignment="1">
      <alignment horizontal="center" vertical="center" wrapText="1"/>
    </xf>
    <xf numFmtId="0" fontId="5" fillId="0" borderId="1" xfId="0" applyFont="1" applyBorder="1" applyAlignment="1">
      <alignment horizontal="center"/>
    </xf>
    <xf numFmtId="0" fontId="5" fillId="0" borderId="3" xfId="0" applyFont="1" applyBorder="1" applyAlignment="1">
      <alignment horizontal="center"/>
    </xf>
    <xf numFmtId="0" fontId="5" fillId="0" borderId="42" xfId="0" applyFont="1" applyBorder="1" applyAlignment="1">
      <alignment horizontal="center" wrapText="1"/>
    </xf>
    <xf numFmtId="0" fontId="5" fillId="0" borderId="44" xfId="0" applyFont="1" applyBorder="1" applyAlignment="1">
      <alignment horizontal="center" wrapText="1"/>
    </xf>
    <xf numFmtId="0" fontId="2" fillId="0" borderId="0" xfId="0" applyFont="1" applyAlignment="1">
      <alignment horizontal="left"/>
    </xf>
    <xf numFmtId="44" fontId="0" fillId="4" borderId="14" xfId="0" applyNumberFormat="1" applyFill="1" applyBorder="1"/>
    <xf numFmtId="44" fontId="0" fillId="4" borderId="27" xfId="0" applyNumberFormat="1" applyFill="1" applyBorder="1"/>
    <xf numFmtId="44" fontId="0" fillId="0" borderId="30" xfId="0" applyNumberFormat="1" applyBorder="1"/>
    <xf numFmtId="44" fontId="0" fillId="0" borderId="38" xfId="0" applyNumberFormat="1" applyBorder="1"/>
    <xf numFmtId="3" fontId="18" fillId="0" borderId="15" xfId="0" applyNumberFormat="1" applyFont="1" applyBorder="1" applyAlignment="1">
      <alignment horizontal="center"/>
    </xf>
    <xf numFmtId="0" fontId="2" fillId="0" borderId="21" xfId="0" applyFont="1" applyBorder="1" applyAlignment="1"/>
    <xf numFmtId="0" fontId="2" fillId="0" borderId="18" xfId="0" applyFont="1" applyBorder="1" applyAlignment="1"/>
    <xf numFmtId="0" fontId="0" fillId="0" borderId="60" xfId="0" applyFill="1" applyBorder="1" applyAlignment="1">
      <alignment horizontal="center"/>
    </xf>
    <xf numFmtId="0" fontId="2" fillId="0" borderId="60" xfId="0" applyFont="1" applyFill="1" applyBorder="1" applyAlignment="1">
      <alignment horizontal="center"/>
    </xf>
    <xf numFmtId="0" fontId="0" fillId="0" borderId="59" xfId="0" applyFill="1" applyBorder="1" applyAlignment="1">
      <alignment horizontal="center"/>
    </xf>
  </cellXfs>
  <cellStyles count="5">
    <cellStyle name="Comma" xfId="4" builtinId="3"/>
    <cellStyle name="Currency" xfId="1" builtinId="4"/>
    <cellStyle name="Hyperlink" xfId="3" builtinId="8"/>
    <cellStyle name="Normal" xfId="0" builtinId="0"/>
    <cellStyle name="Percent" xfId="2" builtinId="5"/>
  </cellStyles>
  <dxfs count="39">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FF0000"/>
      </font>
    </dxf>
    <dxf>
      <font>
        <color rgb="FF9C0006"/>
      </font>
      <numFmt numFmtId="14" formatCode="0.00%"/>
      <fill>
        <patternFill>
          <bgColor rgb="FFFFC7CE"/>
        </patternFill>
      </fill>
    </dxf>
    <dxf>
      <font>
        <b val="0"/>
        <i val="0"/>
      </font>
      <numFmt numFmtId="14" formatCode="0.00%"/>
      <fill>
        <patternFill patternType="solid">
          <bgColor theme="7" tint="0.59996337778862885"/>
        </patternFill>
      </fill>
    </dxf>
    <dxf>
      <font>
        <b val="0"/>
        <i val="0"/>
      </font>
      <numFmt numFmtId="14" formatCode="0.00%"/>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FF0000"/>
        </patternFill>
      </fill>
    </dxf>
    <dxf>
      <fill>
        <patternFill>
          <bgColor rgb="FFCCFFCC"/>
        </patternFill>
      </fill>
    </dxf>
    <dxf>
      <fill>
        <patternFill>
          <bgColor rgb="FFCCFFCC"/>
        </patternFill>
      </fill>
    </dxf>
    <dxf>
      <font>
        <b/>
        <i val="0"/>
      </font>
      <fill>
        <patternFill>
          <bgColor rgb="FFFF0000"/>
        </patternFill>
      </fill>
    </dxf>
    <dxf>
      <fill>
        <patternFill>
          <bgColor rgb="FFCCFFCC"/>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file:///F:\LIHTC%20Development\Allocation%20Plans\KARENH\word\EO.bmp" TargetMode="External"/><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247650</xdr:colOff>
      <xdr:row>0</xdr:row>
      <xdr:rowOff>0</xdr:rowOff>
    </xdr:from>
    <xdr:to>
      <xdr:col>8</xdr:col>
      <xdr:colOff>390525</xdr:colOff>
      <xdr:row>10</xdr:row>
      <xdr:rowOff>47625</xdr:rowOff>
    </xdr:to>
    <xdr:pic>
      <xdr:nvPicPr>
        <xdr:cNvPr id="2" name="Picture 1" descr="NDHFA-LogoBlack">
          <a:extLst>
            <a:ext uri="{FF2B5EF4-FFF2-40B4-BE49-F238E27FC236}">
              <a16:creationId xmlns:a16="http://schemas.microsoft.com/office/drawing/2014/main" id="{B8F6251B-E0D9-4D7B-B3E7-DC841D174F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0" y="342900"/>
          <a:ext cx="4410075" cy="1781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95250</xdr:colOff>
      <xdr:row>32</xdr:row>
      <xdr:rowOff>152400</xdr:rowOff>
    </xdr:from>
    <xdr:to>
      <xdr:col>8</xdr:col>
      <xdr:colOff>514350</xdr:colOff>
      <xdr:row>34</xdr:row>
      <xdr:rowOff>142875</xdr:rowOff>
    </xdr:to>
    <xdr:pic>
      <xdr:nvPicPr>
        <xdr:cNvPr id="3" name="Picture 2" descr="F:\LIHTC Development\Allocation Plans\KARENH\word\EO.bmp">
          <a:extLst>
            <a:ext uri="{FF2B5EF4-FFF2-40B4-BE49-F238E27FC236}">
              <a16:creationId xmlns:a16="http://schemas.microsoft.com/office/drawing/2014/main" id="{E87E2198-5D32-4612-96D5-234888193DC2}"/>
            </a:ext>
          </a:extLst>
        </xdr:cNvPr>
        <xdr:cNvPicPr>
          <a:picLocks noChangeAspect="1" noChangeArrowheads="1"/>
        </xdr:cNvPicPr>
      </xdr:nvPicPr>
      <xdr:blipFill>
        <a:blip xmlns:r="http://schemas.openxmlformats.org/officeDocument/2006/relationships" r:embed="rId2" r:link="rId3" cstate="print">
          <a:extLst>
            <a:ext uri="{28A0092B-C50C-407E-A947-70E740481C1C}">
              <a14:useLocalDpi xmlns:a14="http://schemas.microsoft.com/office/drawing/2010/main" val="0"/>
            </a:ext>
          </a:extLst>
        </a:blip>
        <a:srcRect/>
        <a:stretch>
          <a:fillRect/>
        </a:stretch>
      </xdr:blipFill>
      <xdr:spPr bwMode="auto">
        <a:xfrm>
          <a:off x="4972050" y="6429375"/>
          <a:ext cx="419100" cy="314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31</xdr:col>
      <xdr:colOff>0</xdr:colOff>
      <xdr:row>100</xdr:row>
      <xdr:rowOff>0</xdr:rowOff>
    </xdr:from>
    <xdr:to>
      <xdr:col>31</xdr:col>
      <xdr:colOff>304800</xdr:colOff>
      <xdr:row>122</xdr:row>
      <xdr:rowOff>103094</xdr:rowOff>
    </xdr:to>
    <xdr:sp macro="" textlink="">
      <xdr:nvSpPr>
        <xdr:cNvPr id="45066" name="avatar">
          <a:extLst>
            <a:ext uri="{FF2B5EF4-FFF2-40B4-BE49-F238E27FC236}">
              <a16:creationId xmlns:a16="http://schemas.microsoft.com/office/drawing/2014/main" id="{49B37CF5-0B43-BC63-2B85-598849B8EB90}"/>
            </a:ext>
          </a:extLst>
        </xdr:cNvPr>
        <xdr:cNvSpPr>
          <a:spLocks noChangeAspect="1" noChangeArrowheads="1"/>
        </xdr:cNvSpPr>
      </xdr:nvSpPr>
      <xdr:spPr bwMode="auto">
        <a:xfrm>
          <a:off x="25498425" y="1843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persons/person.xml><?xml version="1.0" encoding="utf-8"?>
<personList xmlns="http://schemas.microsoft.com/office/spreadsheetml/2018/threadedcomments" xmlns:x="http://schemas.openxmlformats.org/spreadsheetml/2006/main">
  <person displayName="Fink, Joseph K." id="{1E170850-3827-41BA-B555-F5BE348589E0}" userId="S::jfink@nd.gov::a40985e4-2c35-4fa0-8225-97ef9068c807"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88" dT="2021-06-03T17:09:56.92" personId="{1E170850-3827-41BA-B555-F5BE348589E0}" id="{7E20ABE0-D0AF-4620-ABBF-347BCAF13816}">
    <text>Excludes Staff Units</text>
  </threadedComment>
  <threadedComment ref="M88" dT="2021-06-03T17:10:11.54" personId="{1E170850-3827-41BA-B555-F5BE348589E0}" id="{78213CC1-A659-47C5-9A65-4E88AFDEE2D2}">
    <text>Excludes Staff Units</text>
  </threadedComment>
  <threadedComment ref="U88" dT="2021-06-03T17:10:15.64" personId="{1E170850-3827-41BA-B555-F5BE348589E0}" id="{91BD8529-5DBE-49DC-A25B-E78D268859AC}">
    <text>Excludes Staff Units</text>
  </threadedComment>
  <threadedComment ref="F161" dT="2021-06-03T17:09:56.92" personId="{1E170850-3827-41BA-B555-F5BE348589E0}" id="{E12C1BA3-8927-4048-8B0A-DF1441A0CAD1}">
    <text>Excludes Staff Units</text>
  </threadedComment>
  <threadedComment ref="M161" dT="2021-06-03T17:10:11.54" personId="{1E170850-3827-41BA-B555-F5BE348589E0}" id="{D0926A54-E43B-423A-9526-D6251EEE6D14}">
    <text>Excludes Staff Units</text>
  </threadedComment>
  <threadedComment ref="U161" dT="2021-06-03T17:10:15.64" personId="{1E170850-3827-41BA-B555-F5BE348589E0}" id="{0EA97C4C-9409-4219-A5E4-AED58E5BF18C}">
    <text>Excludes Staff Units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0.bin"/><Relationship Id="rId1" Type="http://schemas.openxmlformats.org/officeDocument/2006/relationships/hyperlink" Target="https://bnd.nd.gov/business/flex-pace-for-affordable-housing/" TargetMode="External"/><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ecfr.gov/current/title-24/subtitle-A/part-92/subpart-E/subject-group-ECFRf448ea7bbdfb69a/section-92.214" TargetMode="External"/><Relationship Id="rId1" Type="http://schemas.openxmlformats.org/officeDocument/2006/relationships/hyperlink" Target="https://www.ecfr.gov/current/title-24/subtitle-A/part-93/subpart-E?toc=1"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huduser.gov/portal/datasets/qct.html" TargetMode="External"/><Relationship Id="rId2" Type="http://schemas.openxmlformats.org/officeDocument/2006/relationships/hyperlink" Target="https://www.legis.nd.gov/districts/2013-2022" TargetMode="External"/><Relationship Id="rId1" Type="http://schemas.openxmlformats.org/officeDocument/2006/relationships/hyperlink" Target="https://www.huduser.gov/portal/sadda/sadda_qct.html"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huduser.gov/portal/datasets/qct.html" TargetMode="External"/><Relationship Id="rId2" Type="http://schemas.openxmlformats.org/officeDocument/2006/relationships/hyperlink" Target="https://www.legis.nd.gov/districts/2013-2022" TargetMode="External"/><Relationship Id="rId1" Type="http://schemas.openxmlformats.org/officeDocument/2006/relationships/hyperlink" Target="https://www.huduser.gov/portal/sadda/sadda_qct.html"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067CD-9041-4FF1-9108-CA1201B834E5}">
  <dimension ref="A2:J37"/>
  <sheetViews>
    <sheetView tabSelected="1" zoomScaleNormal="100" workbookViewId="0">
      <selection activeCell="A37" sqref="A37"/>
    </sheetView>
  </sheetViews>
  <sheetFormatPr defaultRowHeight="15" x14ac:dyDescent="0.25"/>
  <cols>
    <col min="1" max="10" width="9.42578125" customWidth="1"/>
  </cols>
  <sheetData>
    <row r="2" spans="1:9" x14ac:dyDescent="0.25">
      <c r="A2" s="143"/>
    </row>
    <row r="11" spans="1:9" ht="21.75" x14ac:dyDescent="0.25">
      <c r="C11" s="645" t="s">
        <v>2</v>
      </c>
      <c r="D11" s="646"/>
      <c r="E11" s="646"/>
      <c r="F11" s="646"/>
      <c r="G11" s="646"/>
      <c r="H11" s="646"/>
    </row>
    <row r="12" spans="1:9" x14ac:dyDescent="0.25">
      <c r="C12" s="648" t="s">
        <v>6</v>
      </c>
      <c r="D12" s="648"/>
      <c r="E12" s="648"/>
      <c r="F12" s="648"/>
      <c r="G12" s="648"/>
      <c r="H12" s="648"/>
    </row>
    <row r="13" spans="1:9" ht="15" customHeight="1" x14ac:dyDescent="0.25"/>
    <row r="14" spans="1:9" ht="21" x14ac:dyDescent="0.35">
      <c r="B14" s="647" t="s">
        <v>3</v>
      </c>
      <c r="C14" s="647"/>
      <c r="D14" s="647"/>
      <c r="E14" s="647"/>
      <c r="F14" s="647"/>
      <c r="G14" s="647"/>
      <c r="H14" s="647"/>
      <c r="I14" s="647"/>
    </row>
    <row r="15" spans="1:9" ht="21" x14ac:dyDescent="0.35">
      <c r="B15" s="647" t="s">
        <v>4</v>
      </c>
      <c r="C15" s="647"/>
      <c r="D15" s="647"/>
      <c r="E15" s="647"/>
      <c r="F15" s="647"/>
      <c r="G15" s="647"/>
      <c r="H15" s="647"/>
      <c r="I15" s="647"/>
    </row>
    <row r="16" spans="1:9" ht="21" x14ac:dyDescent="0.35">
      <c r="B16" s="647" t="s">
        <v>728</v>
      </c>
      <c r="C16" s="647"/>
      <c r="D16" s="647"/>
      <c r="E16" s="647"/>
      <c r="F16" s="647"/>
      <c r="G16" s="647"/>
      <c r="H16" s="647"/>
      <c r="I16" s="647"/>
    </row>
    <row r="17" spans="1:10" ht="21" x14ac:dyDescent="0.35">
      <c r="B17" s="647" t="s">
        <v>5</v>
      </c>
      <c r="C17" s="647"/>
      <c r="D17" s="647"/>
      <c r="E17" s="647"/>
      <c r="F17" s="647"/>
      <c r="G17" s="647"/>
      <c r="H17" s="647"/>
      <c r="I17" s="647"/>
    </row>
    <row r="19" spans="1:10" ht="53.1" customHeight="1" x14ac:dyDescent="0.25">
      <c r="A19" s="649" t="s">
        <v>962</v>
      </c>
      <c r="B19" s="650"/>
      <c r="C19" s="650"/>
      <c r="D19" s="650"/>
      <c r="E19" s="650"/>
      <c r="F19" s="650"/>
      <c r="G19" s="650"/>
      <c r="H19" s="650"/>
      <c r="I19" s="650"/>
      <c r="J19" s="650"/>
    </row>
    <row r="20" spans="1:10" ht="20.100000000000001" customHeight="1" x14ac:dyDescent="0.25">
      <c r="A20" s="651" t="s">
        <v>750</v>
      </c>
      <c r="B20" s="651"/>
      <c r="C20" s="651"/>
      <c r="D20" s="651"/>
      <c r="E20" s="651"/>
      <c r="F20" s="651"/>
      <c r="G20" s="651"/>
      <c r="H20" s="651"/>
      <c r="I20" s="651"/>
      <c r="J20" s="651"/>
    </row>
    <row r="21" spans="1:10" ht="20.100000000000001" customHeight="1" x14ac:dyDescent="0.25">
      <c r="A21" s="651" t="s">
        <v>751</v>
      </c>
      <c r="B21" s="651"/>
      <c r="C21" s="651"/>
      <c r="D21" s="651"/>
      <c r="E21" s="651"/>
      <c r="F21" s="651"/>
      <c r="G21" s="651"/>
      <c r="H21" s="651"/>
      <c r="I21" s="651"/>
      <c r="J21" s="651"/>
    </row>
    <row r="22" spans="1:10" ht="20.100000000000001" customHeight="1" x14ac:dyDescent="0.25">
      <c r="A22" s="651" t="s">
        <v>752</v>
      </c>
      <c r="B22" s="651"/>
      <c r="C22" s="651"/>
      <c r="D22" s="651"/>
      <c r="E22" s="651"/>
      <c r="F22" s="651"/>
      <c r="G22" s="651"/>
      <c r="H22" s="651"/>
      <c r="I22" s="651"/>
      <c r="J22" s="651"/>
    </row>
    <row r="23" spans="1:10" ht="20.100000000000001" customHeight="1" x14ac:dyDescent="0.25">
      <c r="A23" s="651" t="s">
        <v>753</v>
      </c>
      <c r="B23" s="651"/>
      <c r="C23" s="651"/>
      <c r="D23" s="651"/>
      <c r="E23" s="651"/>
      <c r="F23" s="651"/>
      <c r="G23" s="651"/>
      <c r="H23" s="651"/>
      <c r="I23" s="651"/>
      <c r="J23" s="651"/>
    </row>
    <row r="24" spans="1:10" ht="45" customHeight="1" x14ac:dyDescent="0.25">
      <c r="A24" s="643" t="s">
        <v>7</v>
      </c>
      <c r="B24" s="644"/>
      <c r="C24" s="644"/>
      <c r="D24" s="644"/>
      <c r="E24" s="644"/>
      <c r="F24" s="644"/>
      <c r="G24" s="644"/>
      <c r="H24" s="644"/>
      <c r="I24" s="644"/>
      <c r="J24" s="644"/>
    </row>
    <row r="25" spans="1:10" ht="60" customHeight="1" x14ac:dyDescent="0.25">
      <c r="A25" s="643" t="s">
        <v>8</v>
      </c>
      <c r="B25" s="644"/>
      <c r="C25" s="644"/>
      <c r="D25" s="644"/>
      <c r="E25" s="644"/>
      <c r="F25" s="644"/>
      <c r="G25" s="644"/>
      <c r="H25" s="644"/>
      <c r="I25" s="644"/>
      <c r="J25" s="644"/>
    </row>
    <row r="26" spans="1:10" ht="30" customHeight="1" x14ac:dyDescent="0.25">
      <c r="A26" s="643" t="s">
        <v>9</v>
      </c>
      <c r="B26" s="644"/>
      <c r="C26" s="644"/>
      <c r="D26" s="644"/>
      <c r="E26" s="644"/>
      <c r="F26" s="644"/>
      <c r="G26" s="644"/>
      <c r="H26" s="644"/>
      <c r="I26" s="644"/>
      <c r="J26" s="644"/>
    </row>
    <row r="27" spans="1:10" ht="15.75" x14ac:dyDescent="0.25">
      <c r="A27" s="144"/>
      <c r="B27" s="145"/>
      <c r="C27" s="145"/>
      <c r="D27" s="145"/>
      <c r="E27" s="145"/>
      <c r="F27" s="145"/>
      <c r="G27" s="145"/>
      <c r="H27" s="145"/>
      <c r="I27" s="145"/>
      <c r="J27" s="145"/>
    </row>
    <row r="28" spans="1:10" ht="15.75" x14ac:dyDescent="0.25">
      <c r="A28" s="144"/>
      <c r="B28" s="145"/>
      <c r="C28" s="145"/>
      <c r="D28" s="145"/>
      <c r="E28" s="145"/>
      <c r="F28" s="145"/>
      <c r="G28" s="145"/>
      <c r="H28" s="145"/>
      <c r="I28" s="145"/>
      <c r="J28" s="145"/>
    </row>
    <row r="29" spans="1:10" ht="15.75" x14ac:dyDescent="0.25">
      <c r="A29" s="144"/>
      <c r="B29" s="145"/>
      <c r="C29" s="145"/>
      <c r="D29" s="145"/>
      <c r="E29" s="145"/>
      <c r="F29" s="145"/>
      <c r="G29" s="145"/>
      <c r="H29" s="145"/>
      <c r="I29" s="145"/>
      <c r="J29" s="145"/>
    </row>
    <row r="30" spans="1:10" ht="15.75" x14ac:dyDescent="0.25">
      <c r="A30" s="144"/>
      <c r="B30" s="145"/>
      <c r="C30" s="145"/>
      <c r="D30" s="145"/>
      <c r="E30" s="145"/>
      <c r="F30" s="145"/>
      <c r="G30" s="145"/>
      <c r="H30" s="145"/>
      <c r="I30" s="145"/>
      <c r="J30" s="145"/>
    </row>
    <row r="31" spans="1:10" ht="15.75" x14ac:dyDescent="0.25">
      <c r="A31" s="144"/>
      <c r="B31" s="145"/>
      <c r="C31" s="145"/>
      <c r="D31" s="145"/>
      <c r="E31" s="145"/>
      <c r="F31" s="145"/>
      <c r="G31" s="145"/>
      <c r="H31" s="145"/>
      <c r="I31" s="145"/>
      <c r="J31" s="145"/>
    </row>
    <row r="32" spans="1:10" ht="15.75" x14ac:dyDescent="0.25">
      <c r="A32" s="144"/>
      <c r="B32" s="145"/>
      <c r="C32" s="145"/>
      <c r="D32" s="145"/>
      <c r="E32" s="145"/>
      <c r="F32" s="145"/>
      <c r="G32" s="145"/>
      <c r="H32" s="145"/>
      <c r="I32" s="145"/>
      <c r="J32" s="145"/>
    </row>
    <row r="36" spans="1:9" x14ac:dyDescent="0.25">
      <c r="I36" s="146" t="s">
        <v>0</v>
      </c>
    </row>
    <row r="37" spans="1:9" x14ac:dyDescent="0.25">
      <c r="A37" s="357">
        <v>46153</v>
      </c>
      <c r="I37" s="146" t="s">
        <v>1</v>
      </c>
    </row>
  </sheetData>
  <sheetProtection algorithmName="SHA-512" hashValue="4wyQ6FrIZw1aSphAO+1O6bkxST3Zs0ottCDKSiWDP7jp2hC7IA1jgAYgzaRK3xskjA2rThVKmS/d8ySCQ5hwSQ==" saltValue="8YKXvSr9wxV4P+mhUU3CLw==" spinCount="100000" sheet="1" objects="1" scenarios="1"/>
  <mergeCells count="14">
    <mergeCell ref="A26:J26"/>
    <mergeCell ref="C11:H11"/>
    <mergeCell ref="A24:J24"/>
    <mergeCell ref="B14:I14"/>
    <mergeCell ref="C12:H12"/>
    <mergeCell ref="B15:I15"/>
    <mergeCell ref="B16:I16"/>
    <mergeCell ref="A19:J19"/>
    <mergeCell ref="A20:J20"/>
    <mergeCell ref="A21:J21"/>
    <mergeCell ref="A23:J23"/>
    <mergeCell ref="A25:J25"/>
    <mergeCell ref="B17:I17"/>
    <mergeCell ref="A22:J22"/>
  </mergeCells>
  <printOptions horizontalCentered="1" verticalCentered="1"/>
  <pageMargins left="0.25" right="0.25" top="0.25" bottom="0.25" header="0" footer="0"/>
  <pageSetup scale="99" orientation="portrait" horizont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5D69C-1FA9-4982-B0A5-4DE10C7BA764}">
  <dimension ref="A1:Y107"/>
  <sheetViews>
    <sheetView zoomScale="85" zoomScaleNormal="85" workbookViewId="0">
      <selection activeCell="C12" sqref="C12"/>
    </sheetView>
  </sheetViews>
  <sheetFormatPr defaultRowHeight="15" x14ac:dyDescent="0.25"/>
  <cols>
    <col min="1" max="1" width="15.42578125" customWidth="1"/>
    <col min="2" max="2" width="18.140625" bestFit="1" customWidth="1"/>
    <col min="3" max="6" width="15.7109375" customWidth="1"/>
    <col min="7" max="7" width="16.42578125" bestFit="1" customWidth="1"/>
    <col min="8" max="12" width="15.7109375" customWidth="1"/>
    <col min="13" max="13" width="2.7109375" customWidth="1"/>
    <col min="14" max="14" width="30.28515625" bestFit="1" customWidth="1"/>
    <col min="15" max="15" width="15.7109375" customWidth="1"/>
    <col min="16" max="16" width="14.140625" bestFit="1" customWidth="1"/>
    <col min="17" max="17" width="9.7109375" customWidth="1"/>
    <col min="18" max="23" width="15.7109375" customWidth="1"/>
    <col min="24" max="24" width="9.7109375" customWidth="1"/>
    <col min="25" max="25" width="10.7109375" customWidth="1"/>
  </cols>
  <sheetData>
    <row r="1" spans="1:21" ht="18.75" x14ac:dyDescent="0.3">
      <c r="A1" s="1001" t="s">
        <v>242</v>
      </c>
      <c r="B1" s="1001"/>
      <c r="C1" s="1001"/>
      <c r="D1" s="1001"/>
      <c r="E1" s="1001"/>
      <c r="F1" s="1001"/>
      <c r="G1" s="1001"/>
      <c r="H1" s="1001"/>
      <c r="I1" s="1001"/>
      <c r="J1" s="1001"/>
      <c r="K1" s="1001"/>
      <c r="L1" s="1001"/>
    </row>
    <row r="2" spans="1:21" x14ac:dyDescent="0.25">
      <c r="A2" s="253" t="s">
        <v>13</v>
      </c>
      <c r="B2" s="1010" t="str">
        <f>IF('Project Summary'!$C$8&lt;1," ",'Project Summary'!$C$8)</f>
        <v xml:space="preserve"> </v>
      </c>
      <c r="C2" s="1010"/>
      <c r="D2" s="1010"/>
      <c r="E2" s="1011"/>
      <c r="F2" s="380" t="s">
        <v>11</v>
      </c>
      <c r="G2" s="1008" t="str">
        <f>IF('Project Summary'!$C$5&lt;1," ",'Project Summary'!$C$5)</f>
        <v xml:space="preserve"> </v>
      </c>
      <c r="H2" s="1009"/>
      <c r="I2" s="253" t="s">
        <v>243</v>
      </c>
      <c r="J2" s="17">
        <v>0.02</v>
      </c>
      <c r="K2" s="253" t="s">
        <v>244</v>
      </c>
      <c r="L2" s="17">
        <v>0.03</v>
      </c>
    </row>
    <row r="4" spans="1:21" ht="15.75" x14ac:dyDescent="0.25">
      <c r="A4" s="903" t="s">
        <v>245</v>
      </c>
      <c r="B4" s="1005"/>
      <c r="C4" s="195" t="s">
        <v>246</v>
      </c>
      <c r="D4" s="195" t="s">
        <v>247</v>
      </c>
      <c r="E4" s="195" t="s">
        <v>248</v>
      </c>
      <c r="F4" s="195" t="s">
        <v>249</v>
      </c>
      <c r="G4" s="195" t="s">
        <v>250</v>
      </c>
      <c r="H4" s="195" t="s">
        <v>251</v>
      </c>
      <c r="I4" s="195" t="s">
        <v>252</v>
      </c>
      <c r="J4" s="195" t="s">
        <v>253</v>
      </c>
      <c r="K4" s="195" t="s">
        <v>254</v>
      </c>
      <c r="L4" s="195" t="s">
        <v>255</v>
      </c>
    </row>
    <row r="5" spans="1:21" s="196" customFormat="1" ht="15" customHeight="1" x14ac:dyDescent="0.25">
      <c r="A5" s="1003" t="s">
        <v>256</v>
      </c>
      <c r="B5" s="1004"/>
      <c r="C5" s="21">
        <f ca="1">'Operating Budget'!$H$57</f>
        <v>0</v>
      </c>
      <c r="D5" s="21">
        <f t="shared" ref="D5:L5" ca="1" si="0">ROUND((C5*(1+$J$2)),0)</f>
        <v>0</v>
      </c>
      <c r="E5" s="21">
        <f t="shared" ca="1" si="0"/>
        <v>0</v>
      </c>
      <c r="F5" s="21">
        <f t="shared" ca="1" si="0"/>
        <v>0</v>
      </c>
      <c r="G5" s="21">
        <f t="shared" ca="1" si="0"/>
        <v>0</v>
      </c>
      <c r="H5" s="21">
        <f t="shared" ca="1" si="0"/>
        <v>0</v>
      </c>
      <c r="I5" s="21">
        <f t="shared" ca="1" si="0"/>
        <v>0</v>
      </c>
      <c r="J5" s="21">
        <f t="shared" ca="1" si="0"/>
        <v>0</v>
      </c>
      <c r="K5" s="21">
        <f t="shared" ca="1" si="0"/>
        <v>0</v>
      </c>
      <c r="L5" s="21">
        <f t="shared" ca="1" si="0"/>
        <v>0</v>
      </c>
    </row>
    <row r="6" spans="1:21" ht="5.25" customHeight="1" x14ac:dyDescent="0.25">
      <c r="A6" s="197"/>
      <c r="B6" s="197"/>
      <c r="C6" s="12"/>
      <c r="D6" s="12"/>
      <c r="E6" s="12"/>
      <c r="F6" s="12"/>
      <c r="G6" s="12"/>
      <c r="H6" s="12"/>
      <c r="I6" s="12"/>
      <c r="J6" s="12"/>
      <c r="K6" s="12"/>
      <c r="L6" s="12"/>
    </row>
    <row r="7" spans="1:21" ht="15.75" x14ac:dyDescent="0.25">
      <c r="A7" s="903" t="s">
        <v>257</v>
      </c>
      <c r="B7" s="903"/>
      <c r="C7" s="13"/>
      <c r="D7" s="13"/>
      <c r="E7" s="13"/>
      <c r="F7" s="13"/>
      <c r="G7" s="13"/>
      <c r="H7" s="13"/>
      <c r="I7" s="13"/>
      <c r="J7" s="13"/>
      <c r="K7" s="13"/>
      <c r="L7" s="13"/>
    </row>
    <row r="8" spans="1:21" ht="15" customHeight="1" x14ac:dyDescent="0.25">
      <c r="A8" s="901" t="s">
        <v>179</v>
      </c>
      <c r="B8" s="899"/>
      <c r="C8" s="14">
        <f>'Operating Budget'!$H$71</f>
        <v>0</v>
      </c>
      <c r="D8" s="14">
        <f t="shared" ref="D8:L8" si="1">ROUND((C8*(1+$L$2)),0)</f>
        <v>0</v>
      </c>
      <c r="E8" s="14">
        <f t="shared" si="1"/>
        <v>0</v>
      </c>
      <c r="F8" s="14">
        <f t="shared" si="1"/>
        <v>0</v>
      </c>
      <c r="G8" s="14">
        <f t="shared" si="1"/>
        <v>0</v>
      </c>
      <c r="H8" s="14">
        <f t="shared" si="1"/>
        <v>0</v>
      </c>
      <c r="I8" s="14">
        <f t="shared" si="1"/>
        <v>0</v>
      </c>
      <c r="J8" s="14">
        <f t="shared" si="1"/>
        <v>0</v>
      </c>
      <c r="K8" s="14">
        <f t="shared" si="1"/>
        <v>0</v>
      </c>
      <c r="L8" s="14">
        <f t="shared" si="1"/>
        <v>0</v>
      </c>
    </row>
    <row r="9" spans="1:21" x14ac:dyDescent="0.25">
      <c r="A9" s="901" t="s">
        <v>189</v>
      </c>
      <c r="B9" s="899"/>
      <c r="C9" s="14">
        <f>'Operating Budget'!$H$80</f>
        <v>0</v>
      </c>
      <c r="D9" s="14">
        <f t="shared" ref="D9:L9" si="2">ROUND((C9*(1+$L$2)),0)</f>
        <v>0</v>
      </c>
      <c r="E9" s="14">
        <f t="shared" si="2"/>
        <v>0</v>
      </c>
      <c r="F9" s="14">
        <f t="shared" si="2"/>
        <v>0</v>
      </c>
      <c r="G9" s="14">
        <f t="shared" si="2"/>
        <v>0</v>
      </c>
      <c r="H9" s="14">
        <f t="shared" si="2"/>
        <v>0</v>
      </c>
      <c r="I9" s="14">
        <f t="shared" si="2"/>
        <v>0</v>
      </c>
      <c r="J9" s="14">
        <f t="shared" si="2"/>
        <v>0</v>
      </c>
      <c r="K9" s="14">
        <f t="shared" si="2"/>
        <v>0</v>
      </c>
      <c r="L9" s="14">
        <f t="shared" si="2"/>
        <v>0</v>
      </c>
    </row>
    <row r="10" spans="1:21" x14ac:dyDescent="0.25">
      <c r="A10" s="901" t="s">
        <v>196</v>
      </c>
      <c r="B10" s="899"/>
      <c r="C10" s="14">
        <f>'Operating Budget'!$H$94</f>
        <v>0</v>
      </c>
      <c r="D10" s="14">
        <f t="shared" ref="D10:L10" si="3">ROUND((C10*(1+$L$2)),0)</f>
        <v>0</v>
      </c>
      <c r="E10" s="14">
        <f t="shared" si="3"/>
        <v>0</v>
      </c>
      <c r="F10" s="14">
        <f t="shared" si="3"/>
        <v>0</v>
      </c>
      <c r="G10" s="14">
        <f t="shared" si="3"/>
        <v>0</v>
      </c>
      <c r="H10" s="14">
        <f t="shared" si="3"/>
        <v>0</v>
      </c>
      <c r="I10" s="14">
        <f t="shared" si="3"/>
        <v>0</v>
      </c>
      <c r="J10" s="14">
        <f t="shared" si="3"/>
        <v>0</v>
      </c>
      <c r="K10" s="14">
        <f t="shared" si="3"/>
        <v>0</v>
      </c>
      <c r="L10" s="14">
        <f t="shared" si="3"/>
        <v>0</v>
      </c>
    </row>
    <row r="11" spans="1:21" x14ac:dyDescent="0.25">
      <c r="A11" s="901" t="s">
        <v>204</v>
      </c>
      <c r="B11" s="899"/>
      <c r="C11" s="14">
        <f>'Operating Budget'!$H$104</f>
        <v>0</v>
      </c>
      <c r="D11" s="14">
        <f t="shared" ref="D11:L11" si="4">ROUND((C11*(1+$L$2)),0)</f>
        <v>0</v>
      </c>
      <c r="E11" s="14">
        <f t="shared" si="4"/>
        <v>0</v>
      </c>
      <c r="F11" s="14">
        <f t="shared" si="4"/>
        <v>0</v>
      </c>
      <c r="G11" s="14">
        <f t="shared" si="4"/>
        <v>0</v>
      </c>
      <c r="H11" s="14">
        <f t="shared" si="4"/>
        <v>0</v>
      </c>
      <c r="I11" s="14">
        <f t="shared" si="4"/>
        <v>0</v>
      </c>
      <c r="J11" s="14">
        <f t="shared" si="4"/>
        <v>0</v>
      </c>
      <c r="K11" s="14">
        <f t="shared" si="4"/>
        <v>0</v>
      </c>
      <c r="L11" s="14">
        <f t="shared" si="4"/>
        <v>0</v>
      </c>
    </row>
    <row r="12" spans="1:21" x14ac:dyDescent="0.25">
      <c r="A12" s="795" t="s">
        <v>258</v>
      </c>
      <c r="B12" s="723"/>
      <c r="C12" s="10">
        <v>0</v>
      </c>
      <c r="D12" s="10">
        <v>0</v>
      </c>
      <c r="E12" s="10">
        <v>0</v>
      </c>
      <c r="F12" s="10">
        <v>0</v>
      </c>
      <c r="G12" s="10">
        <v>0</v>
      </c>
      <c r="H12" s="10">
        <v>0</v>
      </c>
      <c r="I12" s="10">
        <v>0</v>
      </c>
      <c r="J12" s="10">
        <v>0</v>
      </c>
      <c r="K12" s="10">
        <v>0</v>
      </c>
      <c r="L12" s="10">
        <v>0</v>
      </c>
    </row>
    <row r="13" spans="1:21" s="196" customFormat="1" x14ac:dyDescent="0.25">
      <c r="A13" s="897" t="s">
        <v>259</v>
      </c>
      <c r="B13" s="899"/>
      <c r="C13" s="14">
        <f ca="1">'Operating Budget'!$H$110</f>
        <v>0</v>
      </c>
      <c r="D13" s="14">
        <f t="shared" ref="D13:L13" ca="1" si="5">ROUND((C13*(1+$L$2)),0)</f>
        <v>0</v>
      </c>
      <c r="E13" s="14">
        <f t="shared" ca="1" si="5"/>
        <v>0</v>
      </c>
      <c r="F13" s="14">
        <f t="shared" ca="1" si="5"/>
        <v>0</v>
      </c>
      <c r="G13" s="14">
        <f t="shared" ca="1" si="5"/>
        <v>0</v>
      </c>
      <c r="H13" s="14">
        <f t="shared" ca="1" si="5"/>
        <v>0</v>
      </c>
      <c r="I13" s="14">
        <f t="shared" ca="1" si="5"/>
        <v>0</v>
      </c>
      <c r="J13" s="14">
        <f t="shared" ca="1" si="5"/>
        <v>0</v>
      </c>
      <c r="K13" s="14">
        <f t="shared" ca="1" si="5"/>
        <v>0</v>
      </c>
      <c r="L13" s="14">
        <f t="shared" ca="1" si="5"/>
        <v>0</v>
      </c>
    </row>
    <row r="14" spans="1:21" x14ac:dyDescent="0.25">
      <c r="A14" s="1003" t="s">
        <v>260</v>
      </c>
      <c r="B14" s="1004"/>
      <c r="C14" s="21">
        <f t="shared" ref="C14:L14" ca="1" si="6">SUM(C8:C13)</f>
        <v>0</v>
      </c>
      <c r="D14" s="21">
        <f t="shared" ca="1" si="6"/>
        <v>0</v>
      </c>
      <c r="E14" s="21">
        <f t="shared" ca="1" si="6"/>
        <v>0</v>
      </c>
      <c r="F14" s="21">
        <f t="shared" ca="1" si="6"/>
        <v>0</v>
      </c>
      <c r="G14" s="21">
        <f t="shared" ca="1" si="6"/>
        <v>0</v>
      </c>
      <c r="H14" s="21">
        <f t="shared" ca="1" si="6"/>
        <v>0</v>
      </c>
      <c r="I14" s="21">
        <f t="shared" ca="1" si="6"/>
        <v>0</v>
      </c>
      <c r="J14" s="21">
        <f t="shared" ca="1" si="6"/>
        <v>0</v>
      </c>
      <c r="K14" s="21">
        <f t="shared" ca="1" si="6"/>
        <v>0</v>
      </c>
      <c r="L14" s="21">
        <f t="shared" ca="1" si="6"/>
        <v>0</v>
      </c>
      <c r="N14" s="1017" t="s">
        <v>290</v>
      </c>
      <c r="O14" s="1017"/>
      <c r="P14" s="1017"/>
      <c r="Q14" s="1017"/>
      <c r="R14" s="1017"/>
      <c r="S14" s="1017" t="s">
        <v>293</v>
      </c>
      <c r="T14" s="1017"/>
      <c r="U14" s="1017"/>
    </row>
    <row r="15" spans="1:21" s="143" customFormat="1" ht="5.25" customHeight="1" x14ac:dyDescent="0.25">
      <c r="A15" s="197"/>
      <c r="B15" s="197"/>
      <c r="C15" s="12"/>
      <c r="D15" s="12"/>
      <c r="E15" s="12"/>
      <c r="F15" s="12"/>
      <c r="G15" s="12"/>
      <c r="H15" s="12"/>
      <c r="I15" s="12"/>
      <c r="J15" s="12"/>
      <c r="K15" s="12"/>
      <c r="L15" s="12"/>
      <c r="N15" s="1017"/>
      <c r="O15" s="1017"/>
      <c r="P15" s="1017"/>
      <c r="Q15" s="1017"/>
      <c r="R15" s="1017"/>
      <c r="S15" s="1017"/>
      <c r="T15" s="1017"/>
      <c r="U15" s="1017"/>
    </row>
    <row r="16" spans="1:21" ht="15.75" x14ac:dyDescent="0.25">
      <c r="A16" s="1014" t="s">
        <v>261</v>
      </c>
      <c r="B16" s="1015"/>
      <c r="C16" s="22">
        <f t="shared" ref="C16:L16" ca="1" si="7">C5-C14</f>
        <v>0</v>
      </c>
      <c r="D16" s="22">
        <f t="shared" ca="1" si="7"/>
        <v>0</v>
      </c>
      <c r="E16" s="22">
        <f t="shared" ca="1" si="7"/>
        <v>0</v>
      </c>
      <c r="F16" s="22">
        <f t="shared" ca="1" si="7"/>
        <v>0</v>
      </c>
      <c r="G16" s="22">
        <f t="shared" ca="1" si="7"/>
        <v>0</v>
      </c>
      <c r="H16" s="22">
        <f t="shared" ca="1" si="7"/>
        <v>0</v>
      </c>
      <c r="I16" s="22">
        <f t="shared" ca="1" si="7"/>
        <v>0</v>
      </c>
      <c r="J16" s="22">
        <f t="shared" ca="1" si="7"/>
        <v>0</v>
      </c>
      <c r="K16" s="22">
        <f t="shared" ca="1" si="7"/>
        <v>0</v>
      </c>
      <c r="L16" s="22">
        <f t="shared" ca="1" si="7"/>
        <v>0</v>
      </c>
      <c r="N16" s="743"/>
      <c r="O16" s="1017" t="s">
        <v>286</v>
      </c>
      <c r="P16" s="1017" t="s">
        <v>696</v>
      </c>
      <c r="Q16" s="1017" t="s">
        <v>141</v>
      </c>
      <c r="R16" s="1017" t="s">
        <v>287</v>
      </c>
      <c r="S16" s="1017" t="s">
        <v>286</v>
      </c>
      <c r="T16" s="1017" t="s">
        <v>294</v>
      </c>
      <c r="U16" s="1017" t="s">
        <v>246</v>
      </c>
    </row>
    <row r="17" spans="1:25" ht="5.25" customHeight="1" x14ac:dyDescent="0.25">
      <c r="A17" s="197"/>
      <c r="B17" s="197"/>
      <c r="C17" s="12"/>
      <c r="D17" s="12"/>
      <c r="E17" s="12"/>
      <c r="F17" s="12"/>
      <c r="G17" s="12"/>
      <c r="H17" s="12"/>
      <c r="I17" s="12"/>
      <c r="J17" s="12"/>
      <c r="K17" s="12"/>
      <c r="L17" s="12"/>
      <c r="N17" s="743"/>
      <c r="O17" s="1017"/>
      <c r="P17" s="1017"/>
      <c r="Q17" s="1017"/>
      <c r="R17" s="1017"/>
      <c r="S17" s="1017"/>
      <c r="T17" s="1017"/>
      <c r="U17" s="1017"/>
    </row>
    <row r="18" spans="1:25" x14ac:dyDescent="0.25">
      <c r="A18" s="721" t="str">
        <f>IF(ISBLANK('Funding Sources'!$A6)=TRUE,"",'Funding Sources'!$A6)</f>
        <v/>
      </c>
      <c r="B18" s="723"/>
      <c r="C18" s="23">
        <v>0</v>
      </c>
      <c r="D18" s="23">
        <f t="shared" ref="D18:D20" si="8">C18</f>
        <v>0</v>
      </c>
      <c r="E18" s="23">
        <f t="shared" ref="E18:E20" si="9">D18</f>
        <v>0</v>
      </c>
      <c r="F18" s="23">
        <f t="shared" ref="F18:F20" si="10">E18</f>
        <v>0</v>
      </c>
      <c r="G18" s="23">
        <f t="shared" ref="G18:G20" si="11">F18</f>
        <v>0</v>
      </c>
      <c r="H18" s="23">
        <f t="shared" ref="H18:H20" si="12">G18</f>
        <v>0</v>
      </c>
      <c r="I18" s="23">
        <f t="shared" ref="I18:I20" si="13">H18</f>
        <v>0</v>
      </c>
      <c r="J18" s="23">
        <f t="shared" ref="J18:J20" si="14">I18</f>
        <v>0</v>
      </c>
      <c r="K18" s="23">
        <f t="shared" ref="K18:K20" si="15">J18</f>
        <v>0</v>
      </c>
      <c r="L18" s="23">
        <f t="shared" ref="L18:L20" si="16">K18</f>
        <v>0</v>
      </c>
      <c r="N18" s="537" t="str">
        <f>IF(ISBLANK('Funding Sources'!$A6)=TRUE,"",'Funding Sources'!$A6)</f>
        <v/>
      </c>
      <c r="O18" s="535">
        <f>'Funding Sources'!$F6</f>
        <v>0</v>
      </c>
      <c r="P18" s="89" t="e">
        <f>'Funding Sources'!$C6*12</f>
        <v>#VALUE!</v>
      </c>
      <c r="Q18" s="536" t="str">
        <f>'Funding Sources'!$D6</f>
        <v/>
      </c>
      <c r="R18" s="208">
        <f t="shared" ref="R18:R20" si="17">IFERROR(-(PMT(Q18/12,P18,O18))*12,0)</f>
        <v>0</v>
      </c>
      <c r="S18" s="23">
        <v>0</v>
      </c>
      <c r="T18" s="26">
        <v>0</v>
      </c>
      <c r="U18" s="208">
        <f>$S$18*$T$18</f>
        <v>0</v>
      </c>
    </row>
    <row r="19" spans="1:25" x14ac:dyDescent="0.25">
      <c r="A19" s="721" t="str">
        <f>IF(ISBLANK('Funding Sources'!$A7)=TRUE,"",'Funding Sources'!$A7)</f>
        <v/>
      </c>
      <c r="B19" s="723"/>
      <c r="C19" s="23">
        <v>0</v>
      </c>
      <c r="D19" s="23">
        <f t="shared" ref="D19" si="18">C19</f>
        <v>0</v>
      </c>
      <c r="E19" s="23">
        <f t="shared" ref="E19" si="19">D19</f>
        <v>0</v>
      </c>
      <c r="F19" s="23">
        <f t="shared" ref="F19" si="20">E19</f>
        <v>0</v>
      </c>
      <c r="G19" s="23">
        <f t="shared" ref="G19" si="21">F19</f>
        <v>0</v>
      </c>
      <c r="H19" s="23">
        <f t="shared" ref="H19" si="22">G19</f>
        <v>0</v>
      </c>
      <c r="I19" s="23">
        <f t="shared" ref="I19" si="23">H19</f>
        <v>0</v>
      </c>
      <c r="J19" s="23">
        <f t="shared" ref="J19" si="24">I19</f>
        <v>0</v>
      </c>
      <c r="K19" s="23">
        <f t="shared" ref="K19" si="25">J19</f>
        <v>0</v>
      </c>
      <c r="L19" s="23">
        <f t="shared" ref="L19" si="26">K19</f>
        <v>0</v>
      </c>
      <c r="N19" s="532" t="str">
        <f>IF(ISBLANK('Funding Sources'!$A7)=TRUE,"",'Funding Sources'!$A7)</f>
        <v/>
      </c>
      <c r="O19" s="535">
        <f>'Funding Sources'!$F7</f>
        <v>0</v>
      </c>
      <c r="P19" s="89" t="e">
        <f>'Funding Sources'!$C7*12</f>
        <v>#VALUE!</v>
      </c>
      <c r="Q19" s="536" t="str">
        <f>'Funding Sources'!$D7</f>
        <v/>
      </c>
      <c r="R19" s="208">
        <f t="shared" si="17"/>
        <v>0</v>
      </c>
      <c r="S19" s="1012" t="s">
        <v>291</v>
      </c>
      <c r="T19" s="1012"/>
      <c r="U19" s="27">
        <f ca="1">IF('Operating Budget'!$E$48&gt;20,500000,SUM('Operating Budget'!$E$48)*25000)</f>
        <v>0</v>
      </c>
      <c r="V19" s="181"/>
    </row>
    <row r="20" spans="1:25" x14ac:dyDescent="0.25">
      <c r="A20" s="721" t="str">
        <f>IF(ISBLANK('Funding Sources'!$A8)=TRUE,"",'Funding Sources'!$A8)</f>
        <v/>
      </c>
      <c r="B20" s="723"/>
      <c r="C20" s="23">
        <v>0</v>
      </c>
      <c r="D20" s="23">
        <f t="shared" si="8"/>
        <v>0</v>
      </c>
      <c r="E20" s="23">
        <f t="shared" si="9"/>
        <v>0</v>
      </c>
      <c r="F20" s="23">
        <f t="shared" si="10"/>
        <v>0</v>
      </c>
      <c r="G20" s="23">
        <f t="shared" si="11"/>
        <v>0</v>
      </c>
      <c r="H20" s="23">
        <f t="shared" si="12"/>
        <v>0</v>
      </c>
      <c r="I20" s="23">
        <f t="shared" si="13"/>
        <v>0</v>
      </c>
      <c r="J20" s="23">
        <f t="shared" si="14"/>
        <v>0</v>
      </c>
      <c r="K20" s="23">
        <f t="shared" si="15"/>
        <v>0</v>
      </c>
      <c r="L20" s="23">
        <f t="shared" si="16"/>
        <v>0</v>
      </c>
      <c r="N20" s="532" t="str">
        <f>IF(ISBLANK('Funding Sources'!$A8)=TRUE,"",'Funding Sources'!$A8)</f>
        <v/>
      </c>
      <c r="O20" s="535">
        <f>'Funding Sources'!$F8</f>
        <v>0</v>
      </c>
      <c r="P20" s="89" t="e">
        <f>'Funding Sources'!$C8*12</f>
        <v>#VALUE!</v>
      </c>
      <c r="Q20" s="536" t="str">
        <f>'Funding Sources'!$D8</f>
        <v/>
      </c>
      <c r="R20" s="208">
        <f t="shared" si="17"/>
        <v>0</v>
      </c>
      <c r="S20" s="1013" t="s">
        <v>288</v>
      </c>
      <c r="T20" s="1013"/>
      <c r="U20" s="28">
        <v>0</v>
      </c>
      <c r="V20" s="1018" t="s">
        <v>289</v>
      </c>
    </row>
    <row r="21" spans="1:25" x14ac:dyDescent="0.25">
      <c r="A21" s="721" t="str">
        <f>IF(ISBLANK('Funding Sources'!$A9)=TRUE,"Debt Source 1",'Funding Sources'!$A9)</f>
        <v>Debt Source 1</v>
      </c>
      <c r="B21" s="723"/>
      <c r="C21" s="23">
        <v>0</v>
      </c>
      <c r="D21" s="23">
        <f t="shared" ref="D21:L21" si="27">C21</f>
        <v>0</v>
      </c>
      <c r="E21" s="23">
        <f t="shared" si="27"/>
        <v>0</v>
      </c>
      <c r="F21" s="23">
        <f t="shared" si="27"/>
        <v>0</v>
      </c>
      <c r="G21" s="23">
        <f t="shared" si="27"/>
        <v>0</v>
      </c>
      <c r="H21" s="23">
        <f t="shared" si="27"/>
        <v>0</v>
      </c>
      <c r="I21" s="23">
        <f t="shared" si="27"/>
        <v>0</v>
      </c>
      <c r="J21" s="23">
        <f t="shared" si="27"/>
        <v>0</v>
      </c>
      <c r="K21" s="23">
        <f t="shared" si="27"/>
        <v>0</v>
      </c>
      <c r="L21" s="23">
        <f t="shared" si="27"/>
        <v>0</v>
      </c>
      <c r="N21" s="207" t="str">
        <f>$A$21</f>
        <v>Debt Source 1</v>
      </c>
      <c r="O21" s="23">
        <f>'Funding Sources'!$F9</f>
        <v>0</v>
      </c>
      <c r="P21" s="89">
        <f>'Funding Sources'!$C9*12</f>
        <v>0</v>
      </c>
      <c r="Q21" s="25">
        <f>'Funding Sources'!$D9</f>
        <v>0</v>
      </c>
      <c r="R21" s="208">
        <f t="shared" ref="R21:R30" si="28">IFERROR(-(PMT(Q21/12,P21,O21))*12,0)</f>
        <v>0</v>
      </c>
      <c r="S21" s="1012" t="s">
        <v>1055</v>
      </c>
      <c r="T21" s="1012"/>
      <c r="U21" s="204">
        <f ca="1">$U$19*$U$20</f>
        <v>0</v>
      </c>
      <c r="V21" s="1018"/>
    </row>
    <row r="22" spans="1:25" x14ac:dyDescent="0.25">
      <c r="A22" s="721" t="str">
        <f>IF(ISBLANK('Funding Sources'!$A10)=TRUE,"Debt Source 2",'Funding Sources'!$A10)</f>
        <v>Debt Source 2</v>
      </c>
      <c r="B22" s="723"/>
      <c r="C22" s="23">
        <v>0</v>
      </c>
      <c r="D22" s="23">
        <f t="shared" ref="D22:L22" si="29">C22</f>
        <v>0</v>
      </c>
      <c r="E22" s="23">
        <f t="shared" si="29"/>
        <v>0</v>
      </c>
      <c r="F22" s="23">
        <f t="shared" si="29"/>
        <v>0</v>
      </c>
      <c r="G22" s="23">
        <f t="shared" si="29"/>
        <v>0</v>
      </c>
      <c r="H22" s="23">
        <f t="shared" si="29"/>
        <v>0</v>
      </c>
      <c r="I22" s="23">
        <f t="shared" si="29"/>
        <v>0</v>
      </c>
      <c r="J22" s="23">
        <f t="shared" si="29"/>
        <v>0</v>
      </c>
      <c r="K22" s="23">
        <f t="shared" si="29"/>
        <v>0</v>
      </c>
      <c r="L22" s="23">
        <f t="shared" si="29"/>
        <v>0</v>
      </c>
      <c r="N22" s="207" t="str">
        <f t="shared" ref="N22:N30" si="30">A22</f>
        <v>Debt Source 2</v>
      </c>
      <c r="O22" s="23">
        <f>'Funding Sources'!$F10</f>
        <v>0</v>
      </c>
      <c r="P22" s="89">
        <f>'Funding Sources'!$C10*12</f>
        <v>0</v>
      </c>
      <c r="Q22" s="25">
        <f>'Funding Sources'!$D10</f>
        <v>0</v>
      </c>
      <c r="R22" s="208">
        <f t="shared" si="28"/>
        <v>0</v>
      </c>
      <c r="S22" s="1012" t="s">
        <v>1056</v>
      </c>
      <c r="T22" s="1012"/>
      <c r="U22" s="23">
        <v>0</v>
      </c>
      <c r="V22" s="1018"/>
      <c r="W22" s="198"/>
      <c r="X22" s="198"/>
      <c r="Y22" s="198"/>
    </row>
    <row r="23" spans="1:25" x14ac:dyDescent="0.25">
      <c r="A23" s="721" t="str">
        <f>IF(ISBLANK('Funding Sources'!$A11)=TRUE,"Debt Source 3",'Funding Sources'!$A11)</f>
        <v>Debt Source 3</v>
      </c>
      <c r="B23" s="723"/>
      <c r="C23" s="23">
        <v>0</v>
      </c>
      <c r="D23" s="23">
        <f t="shared" ref="D23:L23" si="31">C23</f>
        <v>0</v>
      </c>
      <c r="E23" s="23">
        <f t="shared" si="31"/>
        <v>0</v>
      </c>
      <c r="F23" s="23">
        <f t="shared" si="31"/>
        <v>0</v>
      </c>
      <c r="G23" s="23">
        <f t="shared" si="31"/>
        <v>0</v>
      </c>
      <c r="H23" s="23">
        <f t="shared" si="31"/>
        <v>0</v>
      </c>
      <c r="I23" s="23">
        <f t="shared" si="31"/>
        <v>0</v>
      </c>
      <c r="J23" s="23">
        <f t="shared" si="31"/>
        <v>0</v>
      </c>
      <c r="K23" s="23">
        <f t="shared" si="31"/>
        <v>0</v>
      </c>
      <c r="L23" s="23">
        <f t="shared" si="31"/>
        <v>0</v>
      </c>
      <c r="N23" s="207" t="str">
        <f t="shared" si="30"/>
        <v>Debt Source 3</v>
      </c>
      <c r="O23" s="23">
        <f>'Funding Sources'!$F11</f>
        <v>0</v>
      </c>
      <c r="P23" s="89">
        <f>'Funding Sources'!$C11*12</f>
        <v>0</v>
      </c>
      <c r="Q23" s="25">
        <f>'Funding Sources'!$D11</f>
        <v>0</v>
      </c>
      <c r="R23" s="208">
        <f t="shared" si="28"/>
        <v>0</v>
      </c>
      <c r="S23" s="1012" t="s">
        <v>295</v>
      </c>
      <c r="T23" s="1012"/>
      <c r="U23" s="23">
        <v>0</v>
      </c>
      <c r="V23" s="1018"/>
      <c r="W23" s="199"/>
      <c r="X23" s="199"/>
      <c r="Y23" s="199"/>
    </row>
    <row r="24" spans="1:25" x14ac:dyDescent="0.25">
      <c r="A24" s="721" t="str">
        <f>IF(ISBLANK('Funding Sources'!$A12)=TRUE,"Debt Source 4",'Funding Sources'!$A12)</f>
        <v>Debt Source 4</v>
      </c>
      <c r="B24" s="723"/>
      <c r="C24" s="23">
        <v>0</v>
      </c>
      <c r="D24" s="23">
        <f t="shared" ref="D24:L24" si="32">C24</f>
        <v>0</v>
      </c>
      <c r="E24" s="23">
        <f t="shared" si="32"/>
        <v>0</v>
      </c>
      <c r="F24" s="23">
        <f t="shared" si="32"/>
        <v>0</v>
      </c>
      <c r="G24" s="23">
        <f t="shared" si="32"/>
        <v>0</v>
      </c>
      <c r="H24" s="23">
        <f t="shared" si="32"/>
        <v>0</v>
      </c>
      <c r="I24" s="23">
        <f t="shared" si="32"/>
        <v>0</v>
      </c>
      <c r="J24" s="23">
        <f t="shared" si="32"/>
        <v>0</v>
      </c>
      <c r="K24" s="23">
        <f t="shared" si="32"/>
        <v>0</v>
      </c>
      <c r="L24" s="23">
        <f t="shared" si="32"/>
        <v>0</v>
      </c>
      <c r="N24" s="207" t="str">
        <f t="shared" si="30"/>
        <v>Debt Source 4</v>
      </c>
      <c r="O24" s="23">
        <f>'Funding Sources'!$F12</f>
        <v>0</v>
      </c>
      <c r="P24" s="89">
        <f>'Funding Sources'!$C12*12</f>
        <v>0</v>
      </c>
      <c r="Q24" s="25">
        <f>'Funding Sources'!$D12</f>
        <v>0</v>
      </c>
      <c r="R24" s="208">
        <f t="shared" si="28"/>
        <v>0</v>
      </c>
      <c r="S24" s="1012" t="s">
        <v>292</v>
      </c>
      <c r="T24" s="1012"/>
      <c r="U24" s="204">
        <f ca="1">$U$19+$U$22-$U$23</f>
        <v>0</v>
      </c>
      <c r="V24" s="204">
        <f ca="1">IF($U$24&lt;=0,0,$U$24+SUM($C$32:$L$32,$C$67:$L$67,$C$102:$L$102))</f>
        <v>0</v>
      </c>
      <c r="W24" s="200"/>
      <c r="X24" s="201"/>
      <c r="Y24" s="202"/>
    </row>
    <row r="25" spans="1:25" x14ac:dyDescent="0.25">
      <c r="A25" s="721" t="str">
        <f>IF(ISBLANK('Funding Sources'!$A13)=TRUE,"Debt Source 5",'Funding Sources'!$A13)</f>
        <v>Debt Source 5</v>
      </c>
      <c r="B25" s="723"/>
      <c r="C25" s="23">
        <v>0</v>
      </c>
      <c r="D25" s="23">
        <f t="shared" ref="D25:L25" si="33">C25</f>
        <v>0</v>
      </c>
      <c r="E25" s="23">
        <f t="shared" si="33"/>
        <v>0</v>
      </c>
      <c r="F25" s="23">
        <f t="shared" si="33"/>
        <v>0</v>
      </c>
      <c r="G25" s="23">
        <f t="shared" si="33"/>
        <v>0</v>
      </c>
      <c r="H25" s="23">
        <f t="shared" si="33"/>
        <v>0</v>
      </c>
      <c r="I25" s="23">
        <f t="shared" si="33"/>
        <v>0</v>
      </c>
      <c r="J25" s="23">
        <f t="shared" si="33"/>
        <v>0</v>
      </c>
      <c r="K25" s="23">
        <f t="shared" si="33"/>
        <v>0</v>
      </c>
      <c r="L25" s="23">
        <f t="shared" si="33"/>
        <v>0</v>
      </c>
      <c r="N25" s="207" t="str">
        <f t="shared" si="30"/>
        <v>Debt Source 5</v>
      </c>
      <c r="O25" s="23">
        <f>'Funding Sources'!$F13</f>
        <v>0</v>
      </c>
      <c r="P25" s="89">
        <f>'Funding Sources'!$C13*12</f>
        <v>0</v>
      </c>
      <c r="Q25" s="25">
        <f>'Funding Sources'!$D13</f>
        <v>0</v>
      </c>
      <c r="R25" s="208">
        <f t="shared" si="28"/>
        <v>0</v>
      </c>
    </row>
    <row r="26" spans="1:25" x14ac:dyDescent="0.25">
      <c r="A26" s="721" t="str">
        <f>IF(ISBLANK('Funding Sources'!$A14)=TRUE,"Debt Source 6",'Funding Sources'!$A14)</f>
        <v>Debt Source 6</v>
      </c>
      <c r="B26" s="723"/>
      <c r="C26" s="23">
        <v>0</v>
      </c>
      <c r="D26" s="23">
        <f t="shared" ref="D26:L26" si="34">C26</f>
        <v>0</v>
      </c>
      <c r="E26" s="23">
        <f t="shared" si="34"/>
        <v>0</v>
      </c>
      <c r="F26" s="23">
        <f t="shared" si="34"/>
        <v>0</v>
      </c>
      <c r="G26" s="23">
        <f t="shared" si="34"/>
        <v>0</v>
      </c>
      <c r="H26" s="23">
        <f t="shared" si="34"/>
        <v>0</v>
      </c>
      <c r="I26" s="23">
        <f t="shared" si="34"/>
        <v>0</v>
      </c>
      <c r="J26" s="23">
        <f t="shared" si="34"/>
        <v>0</v>
      </c>
      <c r="K26" s="23">
        <f t="shared" si="34"/>
        <v>0</v>
      </c>
      <c r="L26" s="23">
        <f t="shared" si="34"/>
        <v>0</v>
      </c>
      <c r="N26" s="207" t="str">
        <f t="shared" si="30"/>
        <v>Debt Source 6</v>
      </c>
      <c r="O26" s="23">
        <f>'Funding Sources'!$F14</f>
        <v>0</v>
      </c>
      <c r="P26" s="89">
        <f>'Funding Sources'!$C14*12</f>
        <v>0</v>
      </c>
      <c r="Q26" s="25">
        <f>'Funding Sources'!$D14</f>
        <v>0</v>
      </c>
      <c r="R26" s="208">
        <f t="shared" si="28"/>
        <v>0</v>
      </c>
      <c r="W26" s="143"/>
      <c r="X26" s="203"/>
      <c r="Y26" s="200"/>
    </row>
    <row r="27" spans="1:25" x14ac:dyDescent="0.25">
      <c r="A27" s="721" t="str">
        <f>IF(ISBLANK('Funding Sources'!$A15)=TRUE,"Debt Source 7",'Funding Sources'!$A15)</f>
        <v>Debt Source 7</v>
      </c>
      <c r="B27" s="723"/>
      <c r="C27" s="23">
        <v>0</v>
      </c>
      <c r="D27" s="23">
        <f t="shared" ref="D27:L27" si="35">C27</f>
        <v>0</v>
      </c>
      <c r="E27" s="23">
        <f t="shared" si="35"/>
        <v>0</v>
      </c>
      <c r="F27" s="23">
        <f t="shared" si="35"/>
        <v>0</v>
      </c>
      <c r="G27" s="23">
        <f t="shared" si="35"/>
        <v>0</v>
      </c>
      <c r="H27" s="23">
        <f t="shared" si="35"/>
        <v>0</v>
      </c>
      <c r="I27" s="23">
        <f t="shared" si="35"/>
        <v>0</v>
      </c>
      <c r="J27" s="23">
        <f t="shared" si="35"/>
        <v>0</v>
      </c>
      <c r="K27" s="23">
        <f t="shared" si="35"/>
        <v>0</v>
      </c>
      <c r="L27" s="23">
        <f t="shared" si="35"/>
        <v>0</v>
      </c>
      <c r="N27" s="207" t="str">
        <f t="shared" si="30"/>
        <v>Debt Source 7</v>
      </c>
      <c r="O27" s="23">
        <f>'Funding Sources'!$F15</f>
        <v>0</v>
      </c>
      <c r="P27" s="89">
        <f>'Funding Sources'!$C15*12</f>
        <v>0</v>
      </c>
      <c r="Q27" s="25">
        <f>'Funding Sources'!$D15</f>
        <v>0</v>
      </c>
      <c r="R27" s="208">
        <f t="shared" si="28"/>
        <v>0</v>
      </c>
    </row>
    <row r="28" spans="1:25" x14ac:dyDescent="0.25">
      <c r="A28" s="721" t="str">
        <f>IF(ISBLANK('Funding Sources'!$A16)=TRUE,"Debt Source 8",'Funding Sources'!$A16)</f>
        <v>Debt Source 8</v>
      </c>
      <c r="B28" s="723"/>
      <c r="C28" s="23">
        <v>0</v>
      </c>
      <c r="D28" s="23">
        <f t="shared" ref="D28:L29" si="36">C28</f>
        <v>0</v>
      </c>
      <c r="E28" s="23">
        <f t="shared" si="36"/>
        <v>0</v>
      </c>
      <c r="F28" s="23">
        <f t="shared" si="36"/>
        <v>0</v>
      </c>
      <c r="G28" s="23">
        <f t="shared" si="36"/>
        <v>0</v>
      </c>
      <c r="H28" s="23">
        <f t="shared" si="36"/>
        <v>0</v>
      </c>
      <c r="I28" s="23">
        <f t="shared" si="36"/>
        <v>0</v>
      </c>
      <c r="J28" s="23">
        <f t="shared" si="36"/>
        <v>0</v>
      </c>
      <c r="K28" s="23">
        <f t="shared" si="36"/>
        <v>0</v>
      </c>
      <c r="L28" s="23">
        <f t="shared" si="36"/>
        <v>0</v>
      </c>
      <c r="N28" s="207" t="str">
        <f t="shared" si="30"/>
        <v>Debt Source 8</v>
      </c>
      <c r="O28" s="23">
        <f>'Funding Sources'!$F16</f>
        <v>0</v>
      </c>
      <c r="P28" s="89">
        <f>'Funding Sources'!$C16*12</f>
        <v>0</v>
      </c>
      <c r="Q28" s="25">
        <f>'Funding Sources'!$D16</f>
        <v>0</v>
      </c>
      <c r="R28" s="208">
        <f t="shared" si="28"/>
        <v>0</v>
      </c>
    </row>
    <row r="29" spans="1:25" x14ac:dyDescent="0.25">
      <c r="A29" s="721" t="str">
        <f>IF(ISBLANK('Funding Sources'!$A17)=TRUE,"Debt Source 9",'Funding Sources'!$A17)</f>
        <v>Debt Source 9</v>
      </c>
      <c r="B29" s="723"/>
      <c r="C29" s="23">
        <v>0</v>
      </c>
      <c r="D29" s="23">
        <f t="shared" si="36"/>
        <v>0</v>
      </c>
      <c r="E29" s="23">
        <f t="shared" si="36"/>
        <v>0</v>
      </c>
      <c r="F29" s="23">
        <f t="shared" si="36"/>
        <v>0</v>
      </c>
      <c r="G29" s="23">
        <f t="shared" si="36"/>
        <v>0</v>
      </c>
      <c r="H29" s="23">
        <f t="shared" si="36"/>
        <v>0</v>
      </c>
      <c r="I29" s="23">
        <f t="shared" si="36"/>
        <v>0</v>
      </c>
      <c r="J29" s="23">
        <f t="shared" si="36"/>
        <v>0</v>
      </c>
      <c r="K29" s="23">
        <f t="shared" si="36"/>
        <v>0</v>
      </c>
      <c r="L29" s="23">
        <f>K29</f>
        <v>0</v>
      </c>
      <c r="N29" s="207" t="str">
        <f t="shared" si="30"/>
        <v>Debt Source 9</v>
      </c>
      <c r="O29" s="23">
        <f>'Funding Sources'!$F17</f>
        <v>0</v>
      </c>
      <c r="P29" s="89">
        <f>'Funding Sources'!$C17*12</f>
        <v>0</v>
      </c>
      <c r="Q29" s="25">
        <f>'Funding Sources'!$D17</f>
        <v>0</v>
      </c>
      <c r="R29" s="208">
        <f t="shared" si="28"/>
        <v>0</v>
      </c>
    </row>
    <row r="30" spans="1:25" x14ac:dyDescent="0.25">
      <c r="A30" s="721" t="str">
        <f>IF(ISBLANK('Funding Sources'!$A18)=TRUE,"Debt Source 10",'Funding Sources'!$A18)</f>
        <v>Debt Source 10</v>
      </c>
      <c r="B30" s="723"/>
      <c r="C30" s="23">
        <v>0</v>
      </c>
      <c r="D30" s="23">
        <f t="shared" ref="D30:L32" si="37">C30</f>
        <v>0</v>
      </c>
      <c r="E30" s="23">
        <f t="shared" si="37"/>
        <v>0</v>
      </c>
      <c r="F30" s="23">
        <f t="shared" si="37"/>
        <v>0</v>
      </c>
      <c r="G30" s="23">
        <f t="shared" si="37"/>
        <v>0</v>
      </c>
      <c r="H30" s="23">
        <f t="shared" si="37"/>
        <v>0</v>
      </c>
      <c r="I30" s="23">
        <f t="shared" si="37"/>
        <v>0</v>
      </c>
      <c r="J30" s="23">
        <f t="shared" si="37"/>
        <v>0</v>
      </c>
      <c r="K30" s="23">
        <f t="shared" si="37"/>
        <v>0</v>
      </c>
      <c r="L30" s="23">
        <f t="shared" si="37"/>
        <v>0</v>
      </c>
      <c r="N30" s="207" t="str">
        <f t="shared" si="30"/>
        <v>Debt Source 10</v>
      </c>
      <c r="O30" s="23">
        <f>'Funding Sources'!$F18</f>
        <v>0</v>
      </c>
      <c r="P30" s="89">
        <f>'Funding Sources'!$C18*12</f>
        <v>0</v>
      </c>
      <c r="Q30" s="25">
        <f>'Funding Sources'!$D18</f>
        <v>0</v>
      </c>
      <c r="R30" s="208">
        <f t="shared" si="28"/>
        <v>0</v>
      </c>
    </row>
    <row r="31" spans="1:25" x14ac:dyDescent="0.25">
      <c r="A31" s="1006" t="s">
        <v>145</v>
      </c>
      <c r="B31" s="1007"/>
      <c r="C31" s="23">
        <v>0</v>
      </c>
      <c r="D31" s="23">
        <f t="shared" ref="D31:D32" si="38">C31</f>
        <v>0</v>
      </c>
      <c r="E31" s="23">
        <f t="shared" ref="E31:E32" si="39">D31</f>
        <v>0</v>
      </c>
      <c r="F31" s="23">
        <f t="shared" ref="F31:F32" si="40">E31</f>
        <v>0</v>
      </c>
      <c r="G31" s="23">
        <f t="shared" ref="G31:G32" si="41">F31</f>
        <v>0</v>
      </c>
      <c r="H31" s="23">
        <f t="shared" ref="H31:H32" si="42">G31</f>
        <v>0</v>
      </c>
      <c r="I31" s="23">
        <f t="shared" ref="I31:I32" si="43">H31</f>
        <v>0</v>
      </c>
      <c r="J31" s="23">
        <f t="shared" ref="J31:J32" si="44">I31</f>
        <v>0</v>
      </c>
      <c r="K31" s="23">
        <f t="shared" ref="K31:K32" si="45">J31</f>
        <v>0</v>
      </c>
      <c r="L31" s="23">
        <f t="shared" si="37"/>
        <v>0</v>
      </c>
      <c r="N31" s="207" t="str">
        <f t="shared" ref="N31" si="46">A31</f>
        <v>Deferred Developer Fee</v>
      </c>
      <c r="O31" s="23">
        <f>'Funding Sources'!$F19</f>
        <v>0</v>
      </c>
      <c r="P31" s="89">
        <f>'Funding Sources'!$B$19*12</f>
        <v>0</v>
      </c>
      <c r="Q31" s="25">
        <f>'Funding Sources'!$D$19</f>
        <v>0</v>
      </c>
      <c r="R31" s="208">
        <f t="shared" ref="R31" si="47">IFERROR(-(PMT(Q31/12,P31,O31))*12,0)</f>
        <v>0</v>
      </c>
    </row>
    <row r="32" spans="1:25" x14ac:dyDescent="0.25">
      <c r="A32" s="1006" t="s">
        <v>285</v>
      </c>
      <c r="B32" s="1007"/>
      <c r="C32" s="23">
        <v>0</v>
      </c>
      <c r="D32" s="23">
        <f t="shared" si="38"/>
        <v>0</v>
      </c>
      <c r="E32" s="23">
        <f t="shared" si="39"/>
        <v>0</v>
      </c>
      <c r="F32" s="23">
        <f t="shared" si="40"/>
        <v>0</v>
      </c>
      <c r="G32" s="23">
        <f t="shared" si="41"/>
        <v>0</v>
      </c>
      <c r="H32" s="23">
        <f t="shared" si="42"/>
        <v>0</v>
      </c>
      <c r="I32" s="23">
        <f t="shared" si="43"/>
        <v>0</v>
      </c>
      <c r="J32" s="23">
        <f t="shared" si="44"/>
        <v>0</v>
      </c>
      <c r="K32" s="23">
        <f t="shared" si="45"/>
        <v>0</v>
      </c>
      <c r="L32" s="23">
        <f t="shared" si="37"/>
        <v>0</v>
      </c>
    </row>
    <row r="33" spans="1:22" ht="15.75" x14ac:dyDescent="0.25">
      <c r="A33" s="789" t="s">
        <v>262</v>
      </c>
      <c r="B33" s="891"/>
      <c r="C33" s="204">
        <f t="shared" ref="C33:L33" si="48">SUM(C18:C32)</f>
        <v>0</v>
      </c>
      <c r="D33" s="204">
        <f t="shared" si="48"/>
        <v>0</v>
      </c>
      <c r="E33" s="204">
        <f t="shared" si="48"/>
        <v>0</v>
      </c>
      <c r="F33" s="204">
        <f t="shared" si="48"/>
        <v>0</v>
      </c>
      <c r="G33" s="204">
        <f t="shared" si="48"/>
        <v>0</v>
      </c>
      <c r="H33" s="204">
        <f t="shared" si="48"/>
        <v>0</v>
      </c>
      <c r="I33" s="204">
        <f t="shared" si="48"/>
        <v>0</v>
      </c>
      <c r="J33" s="204">
        <f t="shared" si="48"/>
        <v>0</v>
      </c>
      <c r="K33" s="204">
        <f t="shared" si="48"/>
        <v>0</v>
      </c>
      <c r="L33" s="204">
        <f t="shared" si="48"/>
        <v>0</v>
      </c>
      <c r="M33" s="205"/>
      <c r="N33" s="205"/>
      <c r="O33" s="205"/>
      <c r="P33" s="205"/>
      <c r="Q33" s="205"/>
      <c r="R33" s="205"/>
    </row>
    <row r="34" spans="1:22" s="205" customFormat="1" ht="15.75" x14ac:dyDescent="0.25">
      <c r="A34" s="1002" t="s">
        <v>1071</v>
      </c>
      <c r="B34" s="1002"/>
      <c r="C34" s="206" t="str">
        <f ca="1">IF($A34='Project Summary'!$Q$190,IFERROR(C5/C14,""),IFERROR(C16/C33,""))</f>
        <v/>
      </c>
      <c r="D34" s="206" t="str">
        <f ca="1">IF($A34='Project Summary'!$Q$190,IFERROR(D5/D14,""),IFERROR(D16/D33,""))</f>
        <v/>
      </c>
      <c r="E34" s="206" t="str">
        <f ca="1">IF($A34='Project Summary'!$Q$190,IFERROR(E5/E14,""),IFERROR(E16/E33,""))</f>
        <v/>
      </c>
      <c r="F34" s="206" t="str">
        <f ca="1">IF($A34='Project Summary'!$Q$190,IFERROR(F5/F14,""),IFERROR(F16/F33,""))</f>
        <v/>
      </c>
      <c r="G34" s="206" t="str">
        <f ca="1">IF($A34='Project Summary'!$Q$190,IFERROR(G5/G14,""),IFERROR(G16/G33,""))</f>
        <v/>
      </c>
      <c r="H34" s="206" t="str">
        <f ca="1">IF($A34='Project Summary'!$Q$190,IFERROR(H5/H14,""),IFERROR(H16/H33,""))</f>
        <v/>
      </c>
      <c r="I34" s="206" t="str">
        <f ca="1">IF($A34='Project Summary'!$Q$190,IFERROR(I5/I14,""),IFERROR(I16/I33,""))</f>
        <v/>
      </c>
      <c r="J34" s="206" t="str">
        <f ca="1">IF($A34='Project Summary'!$Q$190,IFERROR(J5/J14,""),IFERROR(J16/J33,""))</f>
        <v/>
      </c>
      <c r="K34" s="206" t="str">
        <f ca="1">IF($A34='Project Summary'!$Q$190,IFERROR(K5/K14,""),IFERROR(K16/K33,""))</f>
        <v/>
      </c>
      <c r="L34" s="206" t="str">
        <f ca="1">IF($A34='Project Summary'!$Q$190,IFERROR(L5/L14,""),IFERROR(L16/L33,""))</f>
        <v/>
      </c>
      <c r="M34" s="198"/>
      <c r="N34" s="198"/>
      <c r="O34" s="198"/>
      <c r="P34" s="198"/>
      <c r="Q34" s="198"/>
      <c r="R34" s="198"/>
    </row>
    <row r="35" spans="1:22" s="198" customFormat="1" ht="15.75" customHeight="1" x14ac:dyDescent="0.25">
      <c r="A35" s="880" t="s">
        <v>263</v>
      </c>
      <c r="B35" s="881"/>
      <c r="C35" s="24">
        <f t="shared" ref="C35:L35" ca="1" si="49">C16-C33</f>
        <v>0</v>
      </c>
      <c r="D35" s="24">
        <f t="shared" ca="1" si="49"/>
        <v>0</v>
      </c>
      <c r="E35" s="24">
        <f t="shared" ca="1" si="49"/>
        <v>0</v>
      </c>
      <c r="F35" s="24">
        <f t="shared" ca="1" si="49"/>
        <v>0</v>
      </c>
      <c r="G35" s="24">
        <f t="shared" ca="1" si="49"/>
        <v>0</v>
      </c>
      <c r="H35" s="24">
        <f t="shared" ca="1" si="49"/>
        <v>0</v>
      </c>
      <c r="I35" s="24">
        <f t="shared" ca="1" si="49"/>
        <v>0</v>
      </c>
      <c r="J35" s="24">
        <f t="shared" ca="1" si="49"/>
        <v>0</v>
      </c>
      <c r="K35" s="24">
        <f t="shared" ca="1" si="49"/>
        <v>0</v>
      </c>
      <c r="L35" s="24">
        <f t="shared" ca="1" si="49"/>
        <v>0</v>
      </c>
      <c r="M35"/>
      <c r="N35"/>
      <c r="O35"/>
      <c r="P35"/>
      <c r="Q35"/>
      <c r="R35"/>
    </row>
    <row r="36" spans="1:22" x14ac:dyDescent="0.25">
      <c r="A36" s="880" t="s">
        <v>264</v>
      </c>
      <c r="B36" s="881"/>
      <c r="C36" s="17">
        <f t="shared" ref="C36:L36" ca="1" si="50">IFERROR(C35/C14,0)</f>
        <v>0</v>
      </c>
      <c r="D36" s="17">
        <f t="shared" ca="1" si="50"/>
        <v>0</v>
      </c>
      <c r="E36" s="17">
        <f t="shared" ca="1" si="50"/>
        <v>0</v>
      </c>
      <c r="F36" s="17">
        <f t="shared" ca="1" si="50"/>
        <v>0</v>
      </c>
      <c r="G36" s="17">
        <f t="shared" ca="1" si="50"/>
        <v>0</v>
      </c>
      <c r="H36" s="17">
        <f t="shared" ca="1" si="50"/>
        <v>0</v>
      </c>
      <c r="I36" s="17">
        <f t="shared" ca="1" si="50"/>
        <v>0</v>
      </c>
      <c r="J36" s="17">
        <f t="shared" ca="1" si="50"/>
        <v>0</v>
      </c>
      <c r="K36" s="17">
        <f t="shared" ca="1" si="50"/>
        <v>0</v>
      </c>
      <c r="L36" s="17">
        <f t="shared" ca="1" si="50"/>
        <v>0</v>
      </c>
    </row>
    <row r="37" spans="1:22" x14ac:dyDescent="0.25">
      <c r="A37" s="198"/>
      <c r="C37" s="15"/>
      <c r="D37" s="15"/>
      <c r="E37" s="15"/>
      <c r="F37" s="15"/>
      <c r="G37" s="15"/>
      <c r="H37" s="15"/>
      <c r="I37" s="15"/>
      <c r="J37" s="15"/>
      <c r="K37" s="15"/>
      <c r="L37" s="15"/>
    </row>
    <row r="38" spans="1:22" ht="6.75" customHeight="1" x14ac:dyDescent="0.25">
      <c r="A38" s="198"/>
      <c r="C38" s="16"/>
      <c r="D38" s="16"/>
      <c r="E38" s="16"/>
      <c r="F38" s="16"/>
      <c r="G38" s="16"/>
      <c r="H38" s="16"/>
      <c r="I38" s="16"/>
      <c r="J38" s="16"/>
      <c r="K38" s="16"/>
      <c r="L38" s="16"/>
      <c r="S38" s="198"/>
      <c r="T38" s="198"/>
      <c r="U38" s="198"/>
      <c r="V38" s="198"/>
    </row>
    <row r="39" spans="1:22" ht="15.75" x14ac:dyDescent="0.25">
      <c r="A39" s="903" t="s">
        <v>245</v>
      </c>
      <c r="B39" s="1005"/>
      <c r="C39" s="195" t="s">
        <v>265</v>
      </c>
      <c r="D39" s="195" t="s">
        <v>266</v>
      </c>
      <c r="E39" s="195" t="s">
        <v>267</v>
      </c>
      <c r="F39" s="195" t="s">
        <v>268</v>
      </c>
      <c r="G39" s="195" t="s">
        <v>269</v>
      </c>
      <c r="H39" s="195" t="s">
        <v>270</v>
      </c>
      <c r="I39" s="195" t="s">
        <v>271</v>
      </c>
      <c r="J39" s="195" t="s">
        <v>272</v>
      </c>
      <c r="K39" s="195" t="s">
        <v>273</v>
      </c>
      <c r="L39" s="195" t="s">
        <v>274</v>
      </c>
      <c r="M39" s="196"/>
      <c r="N39" s="196"/>
      <c r="O39" s="196"/>
      <c r="P39" s="196"/>
      <c r="Q39" s="196"/>
      <c r="R39" s="196"/>
    </row>
    <row r="40" spans="1:22" s="196" customFormat="1" x14ac:dyDescent="0.25">
      <c r="A40" s="1003" t="s">
        <v>256</v>
      </c>
      <c r="B40" s="1004"/>
      <c r="C40" s="21">
        <f ca="1">L5*(1+$J$2)</f>
        <v>0</v>
      </c>
      <c r="D40" s="21">
        <f t="shared" ref="D40:L40" ca="1" si="51">ROUND((C40*(1+$J$2)),0)</f>
        <v>0</v>
      </c>
      <c r="E40" s="21">
        <f t="shared" ca="1" si="51"/>
        <v>0</v>
      </c>
      <c r="F40" s="21">
        <f t="shared" ca="1" si="51"/>
        <v>0</v>
      </c>
      <c r="G40" s="21">
        <f t="shared" ca="1" si="51"/>
        <v>0</v>
      </c>
      <c r="H40" s="21">
        <f t="shared" ca="1" si="51"/>
        <v>0</v>
      </c>
      <c r="I40" s="21">
        <f t="shared" ca="1" si="51"/>
        <v>0</v>
      </c>
      <c r="J40" s="21">
        <f t="shared" ca="1" si="51"/>
        <v>0</v>
      </c>
      <c r="K40" s="21">
        <f t="shared" ca="1" si="51"/>
        <v>0</v>
      </c>
      <c r="L40" s="21">
        <f t="shared" ca="1" si="51"/>
        <v>0</v>
      </c>
      <c r="M40"/>
      <c r="N40"/>
      <c r="O40"/>
      <c r="P40"/>
      <c r="Q40"/>
      <c r="R40"/>
      <c r="S40"/>
      <c r="T40"/>
      <c r="U40"/>
      <c r="V40"/>
    </row>
    <row r="41" spans="1:22" s="143" customFormat="1" ht="5.25" customHeight="1" x14ac:dyDescent="0.25">
      <c r="A41" s="197"/>
      <c r="B41" s="197"/>
      <c r="C41" s="12"/>
      <c r="D41" s="12"/>
      <c r="E41" s="12"/>
      <c r="F41" s="12"/>
      <c r="G41" s="12"/>
      <c r="H41" s="12"/>
      <c r="I41" s="12"/>
      <c r="J41" s="12"/>
      <c r="K41" s="12"/>
      <c r="L41" s="12"/>
      <c r="N41"/>
      <c r="O41"/>
      <c r="P41"/>
      <c r="Q41"/>
      <c r="R41"/>
      <c r="S41"/>
      <c r="T41"/>
      <c r="U41"/>
    </row>
    <row r="42" spans="1:22" ht="15.75" x14ac:dyDescent="0.25">
      <c r="A42" s="903" t="s">
        <v>257</v>
      </c>
      <c r="B42" s="903"/>
      <c r="C42" s="13"/>
      <c r="D42" s="13"/>
      <c r="E42" s="13"/>
      <c r="F42" s="13"/>
      <c r="G42" s="13"/>
      <c r="H42" s="13"/>
      <c r="I42" s="13"/>
      <c r="J42" s="13"/>
      <c r="K42" s="13"/>
      <c r="L42" s="13"/>
    </row>
    <row r="43" spans="1:22" x14ac:dyDescent="0.25">
      <c r="A43" s="901" t="s">
        <v>179</v>
      </c>
      <c r="B43" s="899"/>
      <c r="C43" s="14">
        <f>L8*(1+$L$2)</f>
        <v>0</v>
      </c>
      <c r="D43" s="14">
        <f t="shared" ref="D43:L43" si="52">ROUND((C43*(1+$L$2)),0)</f>
        <v>0</v>
      </c>
      <c r="E43" s="14">
        <f t="shared" si="52"/>
        <v>0</v>
      </c>
      <c r="F43" s="14">
        <f t="shared" si="52"/>
        <v>0</v>
      </c>
      <c r="G43" s="14">
        <f t="shared" si="52"/>
        <v>0</v>
      </c>
      <c r="H43" s="14">
        <f t="shared" si="52"/>
        <v>0</v>
      </c>
      <c r="I43" s="14">
        <f t="shared" si="52"/>
        <v>0</v>
      </c>
      <c r="J43" s="14">
        <f t="shared" si="52"/>
        <v>0</v>
      </c>
      <c r="K43" s="14">
        <f t="shared" si="52"/>
        <v>0</v>
      </c>
      <c r="L43" s="14">
        <f t="shared" si="52"/>
        <v>0</v>
      </c>
      <c r="S43" s="196"/>
      <c r="T43" s="196"/>
      <c r="U43" s="196"/>
      <c r="V43" s="196"/>
    </row>
    <row r="44" spans="1:22" x14ac:dyDescent="0.25">
      <c r="A44" s="901" t="s">
        <v>189</v>
      </c>
      <c r="B44" s="899"/>
      <c r="C44" s="14">
        <f>L9*(1+$L$2)</f>
        <v>0</v>
      </c>
      <c r="D44" s="14">
        <f t="shared" ref="D44:L44" si="53">ROUND((C44*(1+$L$2)),0)</f>
        <v>0</v>
      </c>
      <c r="E44" s="14">
        <f t="shared" si="53"/>
        <v>0</v>
      </c>
      <c r="F44" s="14">
        <f t="shared" si="53"/>
        <v>0</v>
      </c>
      <c r="G44" s="14">
        <f t="shared" si="53"/>
        <v>0</v>
      </c>
      <c r="H44" s="14">
        <f t="shared" si="53"/>
        <v>0</v>
      </c>
      <c r="I44" s="14">
        <f t="shared" si="53"/>
        <v>0</v>
      </c>
      <c r="J44" s="14">
        <f t="shared" si="53"/>
        <v>0</v>
      </c>
      <c r="K44" s="14">
        <f t="shared" si="53"/>
        <v>0</v>
      </c>
      <c r="L44" s="14">
        <f t="shared" si="53"/>
        <v>0</v>
      </c>
    </row>
    <row r="45" spans="1:22" x14ac:dyDescent="0.25">
      <c r="A45" s="901" t="s">
        <v>196</v>
      </c>
      <c r="B45" s="899"/>
      <c r="C45" s="14">
        <f>L10*(1+$L$2)</f>
        <v>0</v>
      </c>
      <c r="D45" s="14">
        <f t="shared" ref="D45:L45" si="54">ROUND((C45*(1+$L$2)),0)</f>
        <v>0</v>
      </c>
      <c r="E45" s="14">
        <f t="shared" si="54"/>
        <v>0</v>
      </c>
      <c r="F45" s="14">
        <f t="shared" si="54"/>
        <v>0</v>
      </c>
      <c r="G45" s="14">
        <f t="shared" si="54"/>
        <v>0</v>
      </c>
      <c r="H45" s="14">
        <f t="shared" si="54"/>
        <v>0</v>
      </c>
      <c r="I45" s="14">
        <f t="shared" si="54"/>
        <v>0</v>
      </c>
      <c r="J45" s="14">
        <f t="shared" si="54"/>
        <v>0</v>
      </c>
      <c r="K45" s="14">
        <f t="shared" si="54"/>
        <v>0</v>
      </c>
      <c r="L45" s="14">
        <f t="shared" si="54"/>
        <v>0</v>
      </c>
    </row>
    <row r="46" spans="1:22" x14ac:dyDescent="0.25">
      <c r="A46" s="901" t="s">
        <v>204</v>
      </c>
      <c r="B46" s="899"/>
      <c r="C46" s="14">
        <f>L11*(1+$L$2)</f>
        <v>0</v>
      </c>
      <c r="D46" s="14">
        <f t="shared" ref="D46:L46" si="55">ROUND((C46*(1+$L$2)),0)</f>
        <v>0</v>
      </c>
      <c r="E46" s="14">
        <f t="shared" si="55"/>
        <v>0</v>
      </c>
      <c r="F46" s="14">
        <f t="shared" si="55"/>
        <v>0</v>
      </c>
      <c r="G46" s="14">
        <f t="shared" si="55"/>
        <v>0</v>
      </c>
      <c r="H46" s="14">
        <f t="shared" si="55"/>
        <v>0</v>
      </c>
      <c r="I46" s="14">
        <f t="shared" si="55"/>
        <v>0</v>
      </c>
      <c r="J46" s="14">
        <f t="shared" si="55"/>
        <v>0</v>
      </c>
      <c r="K46" s="14">
        <f t="shared" si="55"/>
        <v>0</v>
      </c>
      <c r="L46" s="14">
        <f t="shared" si="55"/>
        <v>0</v>
      </c>
    </row>
    <row r="47" spans="1:22" x14ac:dyDescent="0.25">
      <c r="A47" s="795" t="s">
        <v>258</v>
      </c>
      <c r="B47" s="723"/>
      <c r="C47" s="10">
        <v>0</v>
      </c>
      <c r="D47" s="10">
        <v>0</v>
      </c>
      <c r="E47" s="10">
        <v>0</v>
      </c>
      <c r="F47" s="10">
        <v>0</v>
      </c>
      <c r="G47" s="10">
        <v>0</v>
      </c>
      <c r="H47" s="10">
        <v>0</v>
      </c>
      <c r="I47" s="10">
        <v>0</v>
      </c>
      <c r="J47" s="10">
        <v>0</v>
      </c>
      <c r="K47" s="10">
        <v>0</v>
      </c>
      <c r="L47" s="10">
        <v>0</v>
      </c>
      <c r="M47" s="196"/>
      <c r="N47" s="196"/>
      <c r="O47" s="196"/>
      <c r="P47" s="196"/>
      <c r="Q47" s="196"/>
      <c r="R47" s="196"/>
    </row>
    <row r="48" spans="1:22" s="196" customFormat="1" x14ac:dyDescent="0.25">
      <c r="A48" s="897" t="s">
        <v>259</v>
      </c>
      <c r="B48" s="899"/>
      <c r="C48" s="14">
        <f ca="1">L13*(1+$L$2)</f>
        <v>0</v>
      </c>
      <c r="D48" s="14">
        <f t="shared" ref="D48:L48" ca="1" si="56">ROUND((C48*(1+$L$2)),0)</f>
        <v>0</v>
      </c>
      <c r="E48" s="14">
        <f t="shared" ca="1" si="56"/>
        <v>0</v>
      </c>
      <c r="F48" s="14">
        <f t="shared" ca="1" si="56"/>
        <v>0</v>
      </c>
      <c r="G48" s="14">
        <f t="shared" ca="1" si="56"/>
        <v>0</v>
      </c>
      <c r="H48" s="14">
        <f t="shared" ca="1" si="56"/>
        <v>0</v>
      </c>
      <c r="I48" s="14">
        <f t="shared" ca="1" si="56"/>
        <v>0</v>
      </c>
      <c r="J48" s="14">
        <f t="shared" ca="1" si="56"/>
        <v>0</v>
      </c>
      <c r="K48" s="14">
        <f t="shared" ca="1" si="56"/>
        <v>0</v>
      </c>
      <c r="L48" s="14">
        <f t="shared" ca="1" si="56"/>
        <v>0</v>
      </c>
      <c r="M48"/>
      <c r="N48"/>
      <c r="O48"/>
      <c r="P48"/>
      <c r="Q48"/>
      <c r="R48"/>
      <c r="S48"/>
      <c r="T48"/>
      <c r="U48"/>
      <c r="V48"/>
    </row>
    <row r="49" spans="1:22" x14ac:dyDescent="0.25">
      <c r="A49" s="1003" t="s">
        <v>260</v>
      </c>
      <c r="B49" s="1004"/>
      <c r="C49" s="21">
        <f t="shared" ref="C49:L49" ca="1" si="57">SUM(C43:C48)</f>
        <v>0</v>
      </c>
      <c r="D49" s="21">
        <f t="shared" ca="1" si="57"/>
        <v>0</v>
      </c>
      <c r="E49" s="21">
        <f t="shared" ca="1" si="57"/>
        <v>0</v>
      </c>
      <c r="F49" s="21">
        <f t="shared" ca="1" si="57"/>
        <v>0</v>
      </c>
      <c r="G49" s="21">
        <f t="shared" ca="1" si="57"/>
        <v>0</v>
      </c>
      <c r="H49" s="21">
        <f t="shared" ca="1" si="57"/>
        <v>0</v>
      </c>
      <c r="I49" s="21">
        <f t="shared" ca="1" si="57"/>
        <v>0</v>
      </c>
      <c r="J49" s="21">
        <f t="shared" ca="1" si="57"/>
        <v>0</v>
      </c>
      <c r="K49" s="21">
        <f t="shared" ca="1" si="57"/>
        <v>0</v>
      </c>
      <c r="L49" s="21">
        <f t="shared" ca="1" si="57"/>
        <v>0</v>
      </c>
      <c r="M49" s="143"/>
      <c r="N49" s="143"/>
      <c r="O49" s="143"/>
      <c r="P49" s="143"/>
      <c r="Q49" s="143"/>
      <c r="R49" s="143"/>
    </row>
    <row r="50" spans="1:22" s="143" customFormat="1" ht="5.25" customHeight="1" x14ac:dyDescent="0.25">
      <c r="A50" s="197"/>
      <c r="B50" s="197"/>
      <c r="C50" s="12"/>
      <c r="D50" s="12"/>
      <c r="E50" s="12"/>
      <c r="F50" s="12"/>
      <c r="G50" s="12"/>
      <c r="H50" s="12"/>
      <c r="I50" s="12"/>
      <c r="J50" s="12"/>
      <c r="K50" s="12"/>
      <c r="L50" s="12"/>
      <c r="N50"/>
      <c r="O50"/>
      <c r="P50"/>
      <c r="Q50"/>
      <c r="R50"/>
      <c r="S50"/>
      <c r="T50"/>
      <c r="U50"/>
    </row>
    <row r="51" spans="1:22" ht="15.75" x14ac:dyDescent="0.25">
      <c r="A51" s="1014" t="s">
        <v>261</v>
      </c>
      <c r="B51" s="1015"/>
      <c r="C51" s="22">
        <f t="shared" ref="C51:L51" ca="1" si="58">C40-C49</f>
        <v>0</v>
      </c>
      <c r="D51" s="22">
        <f t="shared" ca="1" si="58"/>
        <v>0</v>
      </c>
      <c r="E51" s="22">
        <f t="shared" ca="1" si="58"/>
        <v>0</v>
      </c>
      <c r="F51" s="22">
        <f t="shared" ca="1" si="58"/>
        <v>0</v>
      </c>
      <c r="G51" s="22">
        <f t="shared" ca="1" si="58"/>
        <v>0</v>
      </c>
      <c r="H51" s="22">
        <f t="shared" ca="1" si="58"/>
        <v>0</v>
      </c>
      <c r="I51" s="22">
        <f t="shared" ca="1" si="58"/>
        <v>0</v>
      </c>
      <c r="J51" s="22">
        <f t="shared" ca="1" si="58"/>
        <v>0</v>
      </c>
      <c r="K51" s="22">
        <f t="shared" ca="1" si="58"/>
        <v>0</v>
      </c>
      <c r="L51" s="22">
        <f t="shared" ca="1" si="58"/>
        <v>0</v>
      </c>
      <c r="S51" s="196"/>
      <c r="T51" s="196"/>
      <c r="U51" s="196"/>
      <c r="V51" s="196"/>
    </row>
    <row r="52" spans="1:22" s="143" customFormat="1" ht="5.25" customHeight="1" x14ac:dyDescent="0.25">
      <c r="A52" s="197"/>
      <c r="B52" s="197"/>
      <c r="C52" s="12"/>
      <c r="D52" s="12"/>
      <c r="E52" s="12"/>
      <c r="F52" s="12"/>
      <c r="G52" s="12"/>
      <c r="H52" s="12"/>
      <c r="I52" s="12"/>
      <c r="J52" s="12"/>
      <c r="K52" s="12"/>
      <c r="L52" s="12"/>
      <c r="N52"/>
      <c r="O52"/>
      <c r="P52"/>
      <c r="Q52"/>
      <c r="R52"/>
      <c r="S52" s="196"/>
      <c r="T52" s="196"/>
      <c r="U52" s="196"/>
    </row>
    <row r="53" spans="1:22" x14ac:dyDescent="0.25">
      <c r="A53" s="721" t="str">
        <f t="shared" ref="A53:A65" si="59">$A18</f>
        <v/>
      </c>
      <c r="B53" s="723"/>
      <c r="C53" s="23">
        <f t="shared" ref="C53:C63" si="60">L18</f>
        <v>0</v>
      </c>
      <c r="D53" s="23">
        <f t="shared" ref="D53:D55" si="61">C53</f>
        <v>0</v>
      </c>
      <c r="E53" s="23">
        <f t="shared" ref="E53:E55" si="62">D53</f>
        <v>0</v>
      </c>
      <c r="F53" s="23">
        <f t="shared" ref="F53:F55" si="63">E53</f>
        <v>0</v>
      </c>
      <c r="G53" s="23">
        <f t="shared" ref="G53:G55" si="64">F53</f>
        <v>0</v>
      </c>
      <c r="H53" s="23">
        <f t="shared" ref="H53:H55" si="65">G53</f>
        <v>0</v>
      </c>
      <c r="I53" s="23">
        <f t="shared" ref="I53:I55" si="66">H53</f>
        <v>0</v>
      </c>
      <c r="J53" s="23">
        <f t="shared" ref="J53:J55" si="67">I53</f>
        <v>0</v>
      </c>
      <c r="K53" s="23">
        <f t="shared" ref="K53:K55" si="68">J53</f>
        <v>0</v>
      </c>
      <c r="L53" s="23">
        <f t="shared" ref="L53:L55" si="69">K53</f>
        <v>0</v>
      </c>
    </row>
    <row r="54" spans="1:22" x14ac:dyDescent="0.25">
      <c r="A54" s="721" t="str">
        <f t="shared" si="59"/>
        <v/>
      </c>
      <c r="B54" s="723"/>
      <c r="C54" s="23">
        <f t="shared" si="60"/>
        <v>0</v>
      </c>
      <c r="D54" s="23">
        <f t="shared" ref="D54" si="70">C54</f>
        <v>0</v>
      </c>
      <c r="E54" s="23">
        <f t="shared" ref="E54" si="71">D54</f>
        <v>0</v>
      </c>
      <c r="F54" s="23">
        <f t="shared" ref="F54" si="72">E54</f>
        <v>0</v>
      </c>
      <c r="G54" s="23">
        <f t="shared" ref="G54" si="73">F54</f>
        <v>0</v>
      </c>
      <c r="H54" s="23">
        <f t="shared" ref="H54" si="74">G54</f>
        <v>0</v>
      </c>
      <c r="I54" s="23">
        <f t="shared" ref="I54" si="75">H54</f>
        <v>0</v>
      </c>
      <c r="J54" s="23">
        <f t="shared" ref="J54" si="76">I54</f>
        <v>0</v>
      </c>
      <c r="K54" s="23">
        <f t="shared" ref="K54" si="77">J54</f>
        <v>0</v>
      </c>
      <c r="L54" s="23">
        <f t="shared" ref="L54" si="78">K54</f>
        <v>0</v>
      </c>
      <c r="S54" s="143"/>
      <c r="T54" s="143"/>
      <c r="U54" s="143"/>
      <c r="V54" s="143"/>
    </row>
    <row r="55" spans="1:22" x14ac:dyDescent="0.25">
      <c r="A55" s="721" t="str">
        <f t="shared" si="59"/>
        <v/>
      </c>
      <c r="B55" s="723"/>
      <c r="C55" s="23">
        <f t="shared" si="60"/>
        <v>0</v>
      </c>
      <c r="D55" s="23">
        <f t="shared" si="61"/>
        <v>0</v>
      </c>
      <c r="E55" s="23">
        <f t="shared" si="62"/>
        <v>0</v>
      </c>
      <c r="F55" s="23">
        <f t="shared" si="63"/>
        <v>0</v>
      </c>
      <c r="G55" s="23">
        <f t="shared" si="64"/>
        <v>0</v>
      </c>
      <c r="H55" s="23">
        <f t="shared" si="65"/>
        <v>0</v>
      </c>
      <c r="I55" s="23">
        <f t="shared" si="66"/>
        <v>0</v>
      </c>
      <c r="J55" s="23">
        <f t="shared" si="67"/>
        <v>0</v>
      </c>
      <c r="K55" s="23">
        <f t="shared" si="68"/>
        <v>0</v>
      </c>
      <c r="L55" s="23">
        <f t="shared" si="69"/>
        <v>0</v>
      </c>
    </row>
    <row r="56" spans="1:22" x14ac:dyDescent="0.25">
      <c r="A56" s="721" t="str">
        <f t="shared" si="59"/>
        <v>Debt Source 1</v>
      </c>
      <c r="B56" s="723"/>
      <c r="C56" s="23">
        <f t="shared" si="60"/>
        <v>0</v>
      </c>
      <c r="D56" s="23">
        <f t="shared" ref="D56:L56" si="79">C56</f>
        <v>0</v>
      </c>
      <c r="E56" s="23">
        <f t="shared" si="79"/>
        <v>0</v>
      </c>
      <c r="F56" s="23">
        <f t="shared" si="79"/>
        <v>0</v>
      </c>
      <c r="G56" s="23">
        <f t="shared" si="79"/>
        <v>0</v>
      </c>
      <c r="H56" s="23">
        <f t="shared" si="79"/>
        <v>0</v>
      </c>
      <c r="I56" s="23">
        <f t="shared" si="79"/>
        <v>0</v>
      </c>
      <c r="J56" s="23">
        <f t="shared" si="79"/>
        <v>0</v>
      </c>
      <c r="K56" s="23">
        <f t="shared" si="79"/>
        <v>0</v>
      </c>
      <c r="L56" s="23">
        <f t="shared" si="79"/>
        <v>0</v>
      </c>
    </row>
    <row r="57" spans="1:22" x14ac:dyDescent="0.25">
      <c r="A57" s="721" t="str">
        <f t="shared" si="59"/>
        <v>Debt Source 2</v>
      </c>
      <c r="B57" s="723"/>
      <c r="C57" s="23">
        <f t="shared" si="60"/>
        <v>0</v>
      </c>
      <c r="D57" s="23">
        <f t="shared" ref="D57:L57" si="80">C57</f>
        <v>0</v>
      </c>
      <c r="E57" s="23">
        <f t="shared" si="80"/>
        <v>0</v>
      </c>
      <c r="F57" s="23">
        <f t="shared" si="80"/>
        <v>0</v>
      </c>
      <c r="G57" s="23">
        <f t="shared" si="80"/>
        <v>0</v>
      </c>
      <c r="H57" s="23">
        <f t="shared" si="80"/>
        <v>0</v>
      </c>
      <c r="I57" s="23">
        <f t="shared" si="80"/>
        <v>0</v>
      </c>
      <c r="J57" s="23">
        <f t="shared" si="80"/>
        <v>0</v>
      </c>
      <c r="K57" s="23">
        <f t="shared" si="80"/>
        <v>0</v>
      </c>
      <c r="L57" s="23">
        <f t="shared" si="80"/>
        <v>0</v>
      </c>
    </row>
    <row r="58" spans="1:22" x14ac:dyDescent="0.25">
      <c r="A58" s="721" t="str">
        <f t="shared" si="59"/>
        <v>Debt Source 3</v>
      </c>
      <c r="B58" s="723"/>
      <c r="C58" s="23">
        <f t="shared" si="60"/>
        <v>0</v>
      </c>
      <c r="D58" s="23">
        <f t="shared" ref="D58:L58" si="81">C58</f>
        <v>0</v>
      </c>
      <c r="E58" s="23">
        <f t="shared" si="81"/>
        <v>0</v>
      </c>
      <c r="F58" s="23">
        <f t="shared" si="81"/>
        <v>0</v>
      </c>
      <c r="G58" s="23">
        <f t="shared" si="81"/>
        <v>0</v>
      </c>
      <c r="H58" s="23">
        <f t="shared" si="81"/>
        <v>0</v>
      </c>
      <c r="I58" s="23">
        <f t="shared" si="81"/>
        <v>0</v>
      </c>
      <c r="J58" s="23">
        <f t="shared" si="81"/>
        <v>0</v>
      </c>
      <c r="K58" s="23">
        <f t="shared" si="81"/>
        <v>0</v>
      </c>
      <c r="L58" s="23">
        <f t="shared" si="81"/>
        <v>0</v>
      </c>
    </row>
    <row r="59" spans="1:22" x14ac:dyDescent="0.25">
      <c r="A59" s="721" t="str">
        <f t="shared" si="59"/>
        <v>Debt Source 4</v>
      </c>
      <c r="B59" s="723"/>
      <c r="C59" s="23">
        <f t="shared" si="60"/>
        <v>0</v>
      </c>
      <c r="D59" s="23">
        <f t="shared" ref="D59:L59" si="82">C59</f>
        <v>0</v>
      </c>
      <c r="E59" s="23">
        <f t="shared" si="82"/>
        <v>0</v>
      </c>
      <c r="F59" s="23">
        <f t="shared" si="82"/>
        <v>0</v>
      </c>
      <c r="G59" s="23">
        <f t="shared" si="82"/>
        <v>0</v>
      </c>
      <c r="H59" s="23">
        <f t="shared" si="82"/>
        <v>0</v>
      </c>
      <c r="I59" s="23">
        <f t="shared" si="82"/>
        <v>0</v>
      </c>
      <c r="J59" s="23">
        <f t="shared" si="82"/>
        <v>0</v>
      </c>
      <c r="K59" s="23">
        <f t="shared" si="82"/>
        <v>0</v>
      </c>
      <c r="L59" s="23">
        <f t="shared" si="82"/>
        <v>0</v>
      </c>
    </row>
    <row r="60" spans="1:22" x14ac:dyDescent="0.25">
      <c r="A60" s="721" t="str">
        <f t="shared" si="59"/>
        <v>Debt Source 5</v>
      </c>
      <c r="B60" s="723"/>
      <c r="C60" s="23">
        <f t="shared" si="60"/>
        <v>0</v>
      </c>
      <c r="D60" s="23">
        <f t="shared" ref="D60:L60" si="83">C60</f>
        <v>0</v>
      </c>
      <c r="E60" s="23">
        <f t="shared" si="83"/>
        <v>0</v>
      </c>
      <c r="F60" s="23">
        <f t="shared" si="83"/>
        <v>0</v>
      </c>
      <c r="G60" s="23">
        <f t="shared" si="83"/>
        <v>0</v>
      </c>
      <c r="H60" s="23">
        <f t="shared" si="83"/>
        <v>0</v>
      </c>
      <c r="I60" s="23">
        <f t="shared" si="83"/>
        <v>0</v>
      </c>
      <c r="J60" s="23">
        <f t="shared" si="83"/>
        <v>0</v>
      </c>
      <c r="K60" s="23">
        <f t="shared" si="83"/>
        <v>0</v>
      </c>
      <c r="L60" s="23">
        <f t="shared" si="83"/>
        <v>0</v>
      </c>
    </row>
    <row r="61" spans="1:22" x14ac:dyDescent="0.25">
      <c r="A61" s="721" t="str">
        <f t="shared" si="59"/>
        <v>Debt Source 6</v>
      </c>
      <c r="B61" s="723"/>
      <c r="C61" s="23">
        <f t="shared" si="60"/>
        <v>0</v>
      </c>
      <c r="D61" s="23">
        <f t="shared" ref="D61:L61" si="84">C61</f>
        <v>0</v>
      </c>
      <c r="E61" s="23">
        <f t="shared" si="84"/>
        <v>0</v>
      </c>
      <c r="F61" s="23">
        <f t="shared" si="84"/>
        <v>0</v>
      </c>
      <c r="G61" s="23">
        <f t="shared" si="84"/>
        <v>0</v>
      </c>
      <c r="H61" s="23">
        <f t="shared" si="84"/>
        <v>0</v>
      </c>
      <c r="I61" s="23">
        <f t="shared" si="84"/>
        <v>0</v>
      </c>
      <c r="J61" s="23">
        <f t="shared" si="84"/>
        <v>0</v>
      </c>
      <c r="K61" s="23">
        <f t="shared" si="84"/>
        <v>0</v>
      </c>
      <c r="L61" s="23">
        <f t="shared" si="84"/>
        <v>0</v>
      </c>
    </row>
    <row r="62" spans="1:22" x14ac:dyDescent="0.25">
      <c r="A62" s="721" t="str">
        <f t="shared" si="59"/>
        <v>Debt Source 7</v>
      </c>
      <c r="B62" s="723"/>
      <c r="C62" s="23">
        <f t="shared" si="60"/>
        <v>0</v>
      </c>
      <c r="D62" s="23">
        <f t="shared" ref="D62:L62" si="85">C62</f>
        <v>0</v>
      </c>
      <c r="E62" s="23">
        <f t="shared" si="85"/>
        <v>0</v>
      </c>
      <c r="F62" s="23">
        <f t="shared" si="85"/>
        <v>0</v>
      </c>
      <c r="G62" s="23">
        <f t="shared" si="85"/>
        <v>0</v>
      </c>
      <c r="H62" s="23">
        <f t="shared" si="85"/>
        <v>0</v>
      </c>
      <c r="I62" s="23">
        <f t="shared" si="85"/>
        <v>0</v>
      </c>
      <c r="J62" s="23">
        <f t="shared" si="85"/>
        <v>0</v>
      </c>
      <c r="K62" s="23">
        <f t="shared" si="85"/>
        <v>0</v>
      </c>
      <c r="L62" s="23">
        <f t="shared" si="85"/>
        <v>0</v>
      </c>
    </row>
    <row r="63" spans="1:22" x14ac:dyDescent="0.25">
      <c r="A63" s="721" t="str">
        <f t="shared" si="59"/>
        <v>Debt Source 8</v>
      </c>
      <c r="B63" s="723"/>
      <c r="C63" s="23">
        <f t="shared" si="60"/>
        <v>0</v>
      </c>
      <c r="D63" s="23">
        <f t="shared" ref="D63:L66" si="86">C63</f>
        <v>0</v>
      </c>
      <c r="E63" s="23">
        <f t="shared" si="86"/>
        <v>0</v>
      </c>
      <c r="F63" s="23">
        <f t="shared" si="86"/>
        <v>0</v>
      </c>
      <c r="G63" s="23">
        <f t="shared" si="86"/>
        <v>0</v>
      </c>
      <c r="H63" s="23">
        <f t="shared" si="86"/>
        <v>0</v>
      </c>
      <c r="I63" s="23">
        <f t="shared" si="86"/>
        <v>0</v>
      </c>
      <c r="J63" s="23">
        <f t="shared" si="86"/>
        <v>0</v>
      </c>
      <c r="K63" s="23">
        <f t="shared" si="86"/>
        <v>0</v>
      </c>
      <c r="L63" s="23">
        <f t="shared" si="86"/>
        <v>0</v>
      </c>
    </row>
    <row r="64" spans="1:22" x14ac:dyDescent="0.25">
      <c r="A64" s="721" t="str">
        <f t="shared" si="59"/>
        <v>Debt Source 9</v>
      </c>
      <c r="B64" s="723"/>
      <c r="C64" s="23">
        <f>L29</f>
        <v>0</v>
      </c>
      <c r="D64" s="23">
        <f t="shared" si="86"/>
        <v>0</v>
      </c>
      <c r="E64" s="23">
        <f t="shared" si="86"/>
        <v>0</v>
      </c>
      <c r="F64" s="23">
        <f t="shared" si="86"/>
        <v>0</v>
      </c>
      <c r="G64" s="23">
        <f t="shared" si="86"/>
        <v>0</v>
      </c>
      <c r="H64" s="23">
        <f t="shared" si="86"/>
        <v>0</v>
      </c>
      <c r="I64" s="23">
        <f t="shared" ref="I64:L65" si="87">H64</f>
        <v>0</v>
      </c>
      <c r="J64" s="23">
        <f t="shared" si="87"/>
        <v>0</v>
      </c>
      <c r="K64" s="23">
        <f t="shared" si="87"/>
        <v>0</v>
      </c>
      <c r="L64" s="23">
        <f t="shared" si="87"/>
        <v>0</v>
      </c>
    </row>
    <row r="65" spans="1:22" ht="15.75" x14ac:dyDescent="0.25">
      <c r="A65" s="721" t="str">
        <f t="shared" si="59"/>
        <v>Debt Source 10</v>
      </c>
      <c r="B65" s="723"/>
      <c r="C65" s="23">
        <f>L30</f>
        <v>0</v>
      </c>
      <c r="D65" s="23">
        <f t="shared" si="86"/>
        <v>0</v>
      </c>
      <c r="E65" s="23">
        <f t="shared" si="86"/>
        <v>0</v>
      </c>
      <c r="F65" s="23">
        <f t="shared" si="86"/>
        <v>0</v>
      </c>
      <c r="G65" s="23">
        <f t="shared" si="86"/>
        <v>0</v>
      </c>
      <c r="H65" s="23">
        <f t="shared" si="86"/>
        <v>0</v>
      </c>
      <c r="I65" s="23">
        <f t="shared" si="87"/>
        <v>0</v>
      </c>
      <c r="J65" s="23">
        <f t="shared" si="87"/>
        <v>0</v>
      </c>
      <c r="K65" s="23">
        <f t="shared" si="87"/>
        <v>0</v>
      </c>
      <c r="L65" s="23">
        <f t="shared" ref="L65" si="88">K65</f>
        <v>0</v>
      </c>
      <c r="M65" s="205"/>
      <c r="N65" s="205"/>
      <c r="O65" s="205"/>
      <c r="P65" s="205"/>
      <c r="Q65" s="205"/>
      <c r="R65" s="205"/>
    </row>
    <row r="66" spans="1:22" s="205" customFormat="1" ht="15.75" x14ac:dyDescent="0.25">
      <c r="A66" s="1019" t="str">
        <f>IF(A31&lt;1," ",A31)</f>
        <v>Deferred Developer Fee</v>
      </c>
      <c r="B66" s="1020"/>
      <c r="C66" s="23">
        <f>L31</f>
        <v>0</v>
      </c>
      <c r="D66" s="23">
        <f t="shared" si="86"/>
        <v>0</v>
      </c>
      <c r="E66" s="23">
        <f t="shared" si="86"/>
        <v>0</v>
      </c>
      <c r="F66" s="23">
        <f t="shared" ref="F66:L66" si="89">E66</f>
        <v>0</v>
      </c>
      <c r="G66" s="23">
        <f t="shared" si="89"/>
        <v>0</v>
      </c>
      <c r="H66" s="23">
        <f t="shared" si="89"/>
        <v>0</v>
      </c>
      <c r="I66" s="23">
        <f t="shared" si="89"/>
        <v>0</v>
      </c>
      <c r="J66" s="23">
        <f t="shared" si="89"/>
        <v>0</v>
      </c>
      <c r="K66" s="23">
        <f t="shared" si="89"/>
        <v>0</v>
      </c>
      <c r="L66" s="23">
        <f t="shared" si="89"/>
        <v>0</v>
      </c>
      <c r="M66" s="198"/>
      <c r="N66" s="198"/>
      <c r="O66" s="198"/>
      <c r="P66" s="198"/>
      <c r="Q66" s="198"/>
      <c r="R66" s="198"/>
    </row>
    <row r="67" spans="1:22" s="198" customFormat="1" x14ac:dyDescent="0.25">
      <c r="A67" s="1006" t="str">
        <f>IF(A32&lt;1," ",A32)</f>
        <v>BND FlexPACE Interest Buydown</v>
      </c>
      <c r="B67" s="1007"/>
      <c r="C67" s="23">
        <f>L32</f>
        <v>0</v>
      </c>
      <c r="D67" s="23">
        <f t="shared" ref="D67" si="90">C67</f>
        <v>0</v>
      </c>
      <c r="E67" s="23">
        <f t="shared" ref="E67" si="91">D67</f>
        <v>0</v>
      </c>
      <c r="F67" s="23">
        <f t="shared" ref="F67" si="92">E67</f>
        <v>0</v>
      </c>
      <c r="G67" s="23">
        <f t="shared" ref="G67" si="93">F67</f>
        <v>0</v>
      </c>
      <c r="H67" s="23">
        <f t="shared" ref="H67" si="94">G67</f>
        <v>0</v>
      </c>
      <c r="I67" s="23">
        <f t="shared" ref="I67" si="95">H67</f>
        <v>0</v>
      </c>
      <c r="J67" s="23">
        <f t="shared" ref="J67" si="96">I67</f>
        <v>0</v>
      </c>
      <c r="K67" s="23">
        <f t="shared" ref="K67" si="97">J67</f>
        <v>0</v>
      </c>
      <c r="L67" s="23">
        <f t="shared" ref="L67" si="98">K67</f>
        <v>0</v>
      </c>
      <c r="M67"/>
      <c r="N67"/>
      <c r="O67"/>
      <c r="P67"/>
      <c r="Q67"/>
      <c r="R67"/>
      <c r="S67"/>
      <c r="T67"/>
      <c r="U67"/>
      <c r="V67"/>
    </row>
    <row r="68" spans="1:22" ht="15.75" customHeight="1" x14ac:dyDescent="0.25">
      <c r="A68" s="789" t="s">
        <v>262</v>
      </c>
      <c r="B68" s="891"/>
      <c r="C68" s="204">
        <f t="shared" ref="C68:L68" si="99">SUM(C53:C67)</f>
        <v>0</v>
      </c>
      <c r="D68" s="204">
        <f t="shared" si="99"/>
        <v>0</v>
      </c>
      <c r="E68" s="204">
        <f t="shared" si="99"/>
        <v>0</v>
      </c>
      <c r="F68" s="204">
        <f t="shared" si="99"/>
        <v>0</v>
      </c>
      <c r="G68" s="204">
        <f t="shared" si="99"/>
        <v>0</v>
      </c>
      <c r="H68" s="204">
        <f t="shared" si="99"/>
        <v>0</v>
      </c>
      <c r="I68" s="204">
        <f t="shared" si="99"/>
        <v>0</v>
      </c>
      <c r="J68" s="204">
        <f t="shared" si="99"/>
        <v>0</v>
      </c>
      <c r="K68" s="204">
        <f t="shared" si="99"/>
        <v>0</v>
      </c>
      <c r="L68" s="204">
        <f t="shared" si="99"/>
        <v>0</v>
      </c>
    </row>
    <row r="69" spans="1:22" ht="15.75" x14ac:dyDescent="0.25">
      <c r="A69" s="1016" t="str">
        <f>$A$34</f>
        <v>Debt-Coverage Ratio (DCR)</v>
      </c>
      <c r="B69" s="1016"/>
      <c r="C69" s="206" t="str">
        <f ca="1">IF($A69='Project Summary'!$Q$190,IFERROR(C40/C49,""),IFERROR(C51/C68,""))</f>
        <v/>
      </c>
      <c r="D69" s="206" t="str">
        <f ca="1">IF($A69='Project Summary'!$Q$190,IFERROR(D40/D49,""),IFERROR(D51/D68,""))</f>
        <v/>
      </c>
      <c r="E69" s="206" t="str">
        <f ca="1">IF($A69='Project Summary'!$Q$190,IFERROR(E40/E49,""),IFERROR(E51/E68,""))</f>
        <v/>
      </c>
      <c r="F69" s="206" t="str">
        <f ca="1">IF($A69='Project Summary'!$Q$190,IFERROR(F40/F49,""),IFERROR(F51/F68,""))</f>
        <v/>
      </c>
      <c r="G69" s="206" t="str">
        <f ca="1">IF($A69='Project Summary'!$Q$190,IFERROR(G40/G49,""),IFERROR(G51/G68,""))</f>
        <v/>
      </c>
      <c r="H69" s="206" t="str">
        <f ca="1">IF($A69='Project Summary'!$Q$190,IFERROR(H40/H49,""),IFERROR(H51/H68,""))</f>
        <v/>
      </c>
      <c r="I69" s="206" t="str">
        <f ca="1">IF($A69='Project Summary'!$Q$190,IFERROR(I40/I49,""),IFERROR(I51/I68,""))</f>
        <v/>
      </c>
      <c r="J69" s="206" t="str">
        <f ca="1">IF($A69='Project Summary'!$Q$190,IFERROR(J40/J49,""),IFERROR(J51/J68,""))</f>
        <v/>
      </c>
      <c r="K69" s="206" t="str">
        <f ca="1">IF($A69='Project Summary'!$Q$190,IFERROR(K40/K49,""),IFERROR(K51/K68,""))</f>
        <v/>
      </c>
      <c r="L69" s="206" t="str">
        <f ca="1">IF($A69='Project Summary'!$Q$190,IFERROR(L40/L49,""),IFERROR(L51/L68,""))</f>
        <v/>
      </c>
      <c r="S69" s="205"/>
      <c r="T69" s="205"/>
      <c r="U69" s="205"/>
      <c r="V69" s="205"/>
    </row>
    <row r="70" spans="1:22" x14ac:dyDescent="0.25">
      <c r="A70" s="880" t="s">
        <v>263</v>
      </c>
      <c r="B70" s="881"/>
      <c r="C70" s="24">
        <f t="shared" ref="C70:L70" ca="1" si="100">C51-C68</f>
        <v>0</v>
      </c>
      <c r="D70" s="24">
        <f t="shared" ca="1" si="100"/>
        <v>0</v>
      </c>
      <c r="E70" s="24">
        <f t="shared" ca="1" si="100"/>
        <v>0</v>
      </c>
      <c r="F70" s="24">
        <f t="shared" ca="1" si="100"/>
        <v>0</v>
      </c>
      <c r="G70" s="24">
        <f t="shared" ca="1" si="100"/>
        <v>0</v>
      </c>
      <c r="H70" s="24">
        <f t="shared" ca="1" si="100"/>
        <v>0</v>
      </c>
      <c r="I70" s="24">
        <f t="shared" ca="1" si="100"/>
        <v>0</v>
      </c>
      <c r="J70" s="24">
        <f t="shared" ca="1" si="100"/>
        <v>0</v>
      </c>
      <c r="K70" s="24">
        <f t="shared" ca="1" si="100"/>
        <v>0</v>
      </c>
      <c r="L70" s="24">
        <f t="shared" ca="1" si="100"/>
        <v>0</v>
      </c>
      <c r="S70" s="198"/>
      <c r="T70" s="198"/>
      <c r="U70" s="198"/>
      <c r="V70" s="198"/>
    </row>
    <row r="71" spans="1:22" x14ac:dyDescent="0.25">
      <c r="A71" s="880" t="s">
        <v>264</v>
      </c>
      <c r="B71" s="881"/>
      <c r="C71" s="17">
        <f t="shared" ref="C71:L71" ca="1" si="101">IFERROR(C70/C49,0)</f>
        <v>0</v>
      </c>
      <c r="D71" s="17">
        <f t="shared" ca="1" si="101"/>
        <v>0</v>
      </c>
      <c r="E71" s="17">
        <f t="shared" ca="1" si="101"/>
        <v>0</v>
      </c>
      <c r="F71" s="17">
        <f t="shared" ca="1" si="101"/>
        <v>0</v>
      </c>
      <c r="G71" s="17">
        <f t="shared" ca="1" si="101"/>
        <v>0</v>
      </c>
      <c r="H71" s="17">
        <f t="shared" ca="1" si="101"/>
        <v>0</v>
      </c>
      <c r="I71" s="17">
        <f t="shared" ca="1" si="101"/>
        <v>0</v>
      </c>
      <c r="J71" s="17">
        <f t="shared" ca="1" si="101"/>
        <v>0</v>
      </c>
      <c r="K71" s="17">
        <f t="shared" ca="1" si="101"/>
        <v>0</v>
      </c>
      <c r="L71" s="17">
        <f t="shared" ca="1" si="101"/>
        <v>0</v>
      </c>
      <c r="M71" s="196"/>
      <c r="N71" s="196"/>
      <c r="O71" s="196"/>
      <c r="P71" s="196"/>
      <c r="Q71" s="196"/>
      <c r="R71" s="196"/>
    </row>
    <row r="72" spans="1:22" s="196" customFormat="1" x14ac:dyDescent="0.25">
      <c r="A72" s="198"/>
      <c r="B72"/>
      <c r="C72" s="15"/>
      <c r="D72" s="15"/>
      <c r="E72" s="15"/>
      <c r="F72" s="15"/>
      <c r="G72" s="15"/>
      <c r="H72" s="15"/>
      <c r="I72" s="15"/>
      <c r="J72" s="15"/>
      <c r="K72" s="15"/>
      <c r="L72" s="15"/>
      <c r="M72"/>
      <c r="N72"/>
      <c r="O72"/>
      <c r="P72"/>
      <c r="Q72"/>
      <c r="R72"/>
      <c r="S72"/>
      <c r="T72"/>
      <c r="U72"/>
      <c r="V72"/>
    </row>
    <row r="74" spans="1:22" ht="15.75" x14ac:dyDescent="0.25">
      <c r="A74" s="903" t="s">
        <v>245</v>
      </c>
      <c r="B74" s="1005"/>
      <c r="C74" s="195" t="s">
        <v>275</v>
      </c>
      <c r="D74" s="195" t="s">
        <v>276</v>
      </c>
      <c r="E74" s="195" t="s">
        <v>277</v>
      </c>
      <c r="F74" s="195" t="s">
        <v>278</v>
      </c>
      <c r="G74" s="195" t="s">
        <v>279</v>
      </c>
      <c r="H74" s="195" t="s">
        <v>280</v>
      </c>
      <c r="I74" s="195" t="s">
        <v>281</v>
      </c>
      <c r="J74" s="195" t="s">
        <v>282</v>
      </c>
      <c r="K74" s="195" t="s">
        <v>283</v>
      </c>
      <c r="L74" s="195" t="s">
        <v>284</v>
      </c>
    </row>
    <row r="75" spans="1:22" x14ac:dyDescent="0.25">
      <c r="A75" s="1003" t="s">
        <v>256</v>
      </c>
      <c r="B75" s="1004"/>
      <c r="C75" s="21">
        <f ca="1">L40*(1+$J$2)</f>
        <v>0</v>
      </c>
      <c r="D75" s="21">
        <f t="shared" ref="D75:L75" ca="1" si="102">ROUND((C75*(1+$J$2)),0)</f>
        <v>0</v>
      </c>
      <c r="E75" s="21">
        <f t="shared" ca="1" si="102"/>
        <v>0</v>
      </c>
      <c r="F75" s="21">
        <f t="shared" ca="1" si="102"/>
        <v>0</v>
      </c>
      <c r="G75" s="21">
        <f t="shared" ca="1" si="102"/>
        <v>0</v>
      </c>
      <c r="H75" s="21">
        <f t="shared" ca="1" si="102"/>
        <v>0</v>
      </c>
      <c r="I75" s="21">
        <f t="shared" ca="1" si="102"/>
        <v>0</v>
      </c>
      <c r="J75" s="21">
        <f t="shared" ca="1" si="102"/>
        <v>0</v>
      </c>
      <c r="K75" s="21">
        <f t="shared" ca="1" si="102"/>
        <v>0</v>
      </c>
      <c r="L75" s="21">
        <f t="shared" ca="1" si="102"/>
        <v>0</v>
      </c>
      <c r="S75" s="196"/>
      <c r="T75" s="196"/>
      <c r="U75" s="196"/>
      <c r="V75" s="196"/>
    </row>
    <row r="76" spans="1:22" s="143" customFormat="1" ht="5.25" customHeight="1" x14ac:dyDescent="0.25">
      <c r="A76" s="197"/>
      <c r="B76" s="197"/>
      <c r="C76" s="12"/>
      <c r="D76" s="12"/>
      <c r="E76" s="12"/>
      <c r="F76" s="12"/>
      <c r="G76" s="12"/>
      <c r="H76" s="12"/>
      <c r="I76" s="12"/>
      <c r="J76" s="12"/>
      <c r="K76" s="12"/>
      <c r="L76" s="12"/>
      <c r="N76"/>
      <c r="O76"/>
      <c r="P76"/>
      <c r="Q76"/>
      <c r="R76"/>
      <c r="S76"/>
      <c r="T76"/>
      <c r="U76"/>
    </row>
    <row r="77" spans="1:22" ht="15.75" x14ac:dyDescent="0.25">
      <c r="A77" s="903" t="s">
        <v>257</v>
      </c>
      <c r="B77" s="903"/>
      <c r="C77" s="13"/>
      <c r="D77" s="13"/>
      <c r="E77" s="13"/>
      <c r="F77" s="13"/>
      <c r="G77" s="13"/>
      <c r="H77" s="13"/>
      <c r="I77" s="13"/>
      <c r="J77" s="13"/>
      <c r="K77" s="13"/>
      <c r="L77" s="13"/>
    </row>
    <row r="78" spans="1:22" x14ac:dyDescent="0.25">
      <c r="A78" s="901" t="s">
        <v>179</v>
      </c>
      <c r="B78" s="899"/>
      <c r="C78" s="14">
        <f>L43*(1+$L$2)</f>
        <v>0</v>
      </c>
      <c r="D78" s="14">
        <f t="shared" ref="D78:L78" si="103">ROUND((C78*(1+$L$2)),0)</f>
        <v>0</v>
      </c>
      <c r="E78" s="14">
        <f t="shared" si="103"/>
        <v>0</v>
      </c>
      <c r="F78" s="14">
        <f t="shared" si="103"/>
        <v>0</v>
      </c>
      <c r="G78" s="14">
        <f t="shared" si="103"/>
        <v>0</v>
      </c>
      <c r="H78" s="14">
        <f t="shared" si="103"/>
        <v>0</v>
      </c>
      <c r="I78" s="14">
        <f t="shared" si="103"/>
        <v>0</v>
      </c>
      <c r="J78" s="14">
        <f t="shared" si="103"/>
        <v>0</v>
      </c>
      <c r="K78" s="14">
        <f t="shared" si="103"/>
        <v>0</v>
      </c>
      <c r="L78" s="14">
        <f t="shared" si="103"/>
        <v>0</v>
      </c>
    </row>
    <row r="79" spans="1:22" x14ac:dyDescent="0.25">
      <c r="A79" s="901" t="s">
        <v>189</v>
      </c>
      <c r="B79" s="899"/>
      <c r="C79" s="14">
        <f>L44*(1+$L$2)</f>
        <v>0</v>
      </c>
      <c r="D79" s="14">
        <f t="shared" ref="D79:L79" si="104">ROUND((C79*(1+$L$2)),0)</f>
        <v>0</v>
      </c>
      <c r="E79" s="14">
        <f t="shared" si="104"/>
        <v>0</v>
      </c>
      <c r="F79" s="14">
        <f t="shared" si="104"/>
        <v>0</v>
      </c>
      <c r="G79" s="14">
        <f t="shared" si="104"/>
        <v>0</v>
      </c>
      <c r="H79" s="14">
        <f t="shared" si="104"/>
        <v>0</v>
      </c>
      <c r="I79" s="14">
        <f t="shared" si="104"/>
        <v>0</v>
      </c>
      <c r="J79" s="14">
        <f t="shared" si="104"/>
        <v>0</v>
      </c>
      <c r="K79" s="14">
        <f t="shared" si="104"/>
        <v>0</v>
      </c>
      <c r="L79" s="14">
        <f t="shared" si="104"/>
        <v>0</v>
      </c>
      <c r="M79" s="196"/>
      <c r="N79" s="196"/>
      <c r="O79" s="196"/>
      <c r="P79" s="196"/>
      <c r="Q79" s="196"/>
      <c r="R79" s="196"/>
    </row>
    <row r="80" spans="1:22" s="196" customFormat="1" x14ac:dyDescent="0.25">
      <c r="A80" s="901" t="s">
        <v>196</v>
      </c>
      <c r="B80" s="899"/>
      <c r="C80" s="14">
        <f>L45*(1+$L$2)</f>
        <v>0</v>
      </c>
      <c r="D80" s="14">
        <f t="shared" ref="D80:L80" si="105">ROUND((C80*(1+$L$2)),0)</f>
        <v>0</v>
      </c>
      <c r="E80" s="14">
        <f t="shared" si="105"/>
        <v>0</v>
      </c>
      <c r="F80" s="14">
        <f t="shared" si="105"/>
        <v>0</v>
      </c>
      <c r="G80" s="14">
        <f t="shared" si="105"/>
        <v>0</v>
      </c>
      <c r="H80" s="14">
        <f t="shared" si="105"/>
        <v>0</v>
      </c>
      <c r="I80" s="14">
        <f t="shared" si="105"/>
        <v>0</v>
      </c>
      <c r="J80" s="14">
        <f t="shared" si="105"/>
        <v>0</v>
      </c>
      <c r="K80" s="14">
        <f t="shared" si="105"/>
        <v>0</v>
      </c>
      <c r="L80" s="14">
        <f t="shared" si="105"/>
        <v>0</v>
      </c>
      <c r="M80"/>
      <c r="N80"/>
      <c r="O80"/>
      <c r="P80"/>
      <c r="Q80"/>
      <c r="R80"/>
      <c r="S80"/>
      <c r="T80"/>
      <c r="U80"/>
      <c r="V80"/>
    </row>
    <row r="81" spans="1:22" x14ac:dyDescent="0.25">
      <c r="A81" s="901" t="s">
        <v>204</v>
      </c>
      <c r="B81" s="899"/>
      <c r="C81" s="14">
        <f>L46*(1+$L$2)</f>
        <v>0</v>
      </c>
      <c r="D81" s="14">
        <f t="shared" ref="D81:L81" si="106">ROUND((C81*(1+$L$2)),0)</f>
        <v>0</v>
      </c>
      <c r="E81" s="14">
        <f t="shared" si="106"/>
        <v>0</v>
      </c>
      <c r="F81" s="14">
        <f t="shared" si="106"/>
        <v>0</v>
      </c>
      <c r="G81" s="14">
        <f t="shared" si="106"/>
        <v>0</v>
      </c>
      <c r="H81" s="14">
        <f t="shared" si="106"/>
        <v>0</v>
      </c>
      <c r="I81" s="14">
        <f t="shared" si="106"/>
        <v>0</v>
      </c>
      <c r="J81" s="14">
        <f t="shared" si="106"/>
        <v>0</v>
      </c>
      <c r="K81" s="14">
        <f t="shared" si="106"/>
        <v>0</v>
      </c>
      <c r="L81" s="14">
        <f t="shared" si="106"/>
        <v>0</v>
      </c>
      <c r="M81" s="143"/>
      <c r="N81" s="143"/>
      <c r="O81" s="143"/>
      <c r="P81" s="143"/>
      <c r="Q81" s="143"/>
      <c r="R81" s="143"/>
    </row>
    <row r="82" spans="1:22" s="143" customFormat="1" x14ac:dyDescent="0.25">
      <c r="A82" s="795" t="s">
        <v>258</v>
      </c>
      <c r="B82" s="723"/>
      <c r="C82" s="10">
        <v>0</v>
      </c>
      <c r="D82" s="10">
        <v>0</v>
      </c>
      <c r="E82" s="10">
        <v>0</v>
      </c>
      <c r="F82" s="10">
        <v>0</v>
      </c>
      <c r="G82" s="10">
        <v>0</v>
      </c>
      <c r="H82" s="10">
        <v>0</v>
      </c>
      <c r="I82" s="10">
        <v>0</v>
      </c>
      <c r="J82" s="10">
        <v>0</v>
      </c>
      <c r="K82" s="10">
        <v>0</v>
      </c>
      <c r="L82" s="10">
        <v>0</v>
      </c>
      <c r="M82"/>
      <c r="N82"/>
      <c r="O82"/>
      <c r="P82"/>
      <c r="Q82"/>
      <c r="R82"/>
      <c r="S82"/>
      <c r="T82"/>
      <c r="U82"/>
      <c r="V82"/>
    </row>
    <row r="83" spans="1:22" x14ac:dyDescent="0.25">
      <c r="A83" s="897" t="s">
        <v>259</v>
      </c>
      <c r="B83" s="899"/>
      <c r="C83" s="14">
        <f ca="1">L48*(1+$L$2)</f>
        <v>0</v>
      </c>
      <c r="D83" s="14">
        <f t="shared" ref="D83:L83" ca="1" si="107">ROUND((C83*(1+$L$2)),0)</f>
        <v>0</v>
      </c>
      <c r="E83" s="14">
        <f t="shared" ca="1" si="107"/>
        <v>0</v>
      </c>
      <c r="F83" s="14">
        <f t="shared" ca="1" si="107"/>
        <v>0</v>
      </c>
      <c r="G83" s="14">
        <f t="shared" ca="1" si="107"/>
        <v>0</v>
      </c>
      <c r="H83" s="14">
        <f t="shared" ca="1" si="107"/>
        <v>0</v>
      </c>
      <c r="I83" s="14">
        <f t="shared" ca="1" si="107"/>
        <v>0</v>
      </c>
      <c r="J83" s="14">
        <f t="shared" ca="1" si="107"/>
        <v>0</v>
      </c>
      <c r="K83" s="14">
        <f t="shared" ca="1" si="107"/>
        <v>0</v>
      </c>
      <c r="L83" s="14">
        <f t="shared" ca="1" si="107"/>
        <v>0</v>
      </c>
      <c r="S83" s="196"/>
      <c r="T83" s="196"/>
      <c r="U83" s="196"/>
      <c r="V83" s="196"/>
    </row>
    <row r="84" spans="1:22" x14ac:dyDescent="0.25">
      <c r="A84" s="1003" t="s">
        <v>260</v>
      </c>
      <c r="B84" s="1004"/>
      <c r="C84" s="21">
        <f t="shared" ref="C84:L84" ca="1" si="108">SUM(C78:C83)</f>
        <v>0</v>
      </c>
      <c r="D84" s="21">
        <f t="shared" ca="1" si="108"/>
        <v>0</v>
      </c>
      <c r="E84" s="21">
        <f t="shared" ca="1" si="108"/>
        <v>0</v>
      </c>
      <c r="F84" s="21">
        <f t="shared" ca="1" si="108"/>
        <v>0</v>
      </c>
      <c r="G84" s="21">
        <f t="shared" ca="1" si="108"/>
        <v>0</v>
      </c>
      <c r="H84" s="21">
        <f t="shared" ca="1" si="108"/>
        <v>0</v>
      </c>
      <c r="I84" s="21">
        <f t="shared" ca="1" si="108"/>
        <v>0</v>
      </c>
      <c r="J84" s="21">
        <f t="shared" ca="1" si="108"/>
        <v>0</v>
      </c>
      <c r="K84" s="21">
        <f t="shared" ca="1" si="108"/>
        <v>0</v>
      </c>
      <c r="L84" s="21">
        <f t="shared" ca="1" si="108"/>
        <v>0</v>
      </c>
    </row>
    <row r="85" spans="1:22" s="143" customFormat="1" ht="5.25" customHeight="1" x14ac:dyDescent="0.25">
      <c r="A85" s="197"/>
      <c r="B85" s="197"/>
      <c r="C85" s="12"/>
      <c r="D85" s="12"/>
      <c r="E85" s="12"/>
      <c r="F85" s="12"/>
      <c r="G85" s="12"/>
      <c r="H85" s="12"/>
      <c r="I85" s="12"/>
      <c r="J85" s="12"/>
      <c r="K85" s="12"/>
      <c r="L85" s="12"/>
      <c r="N85"/>
      <c r="O85"/>
      <c r="P85"/>
      <c r="Q85"/>
      <c r="R85"/>
    </row>
    <row r="86" spans="1:22" ht="15.75" x14ac:dyDescent="0.25">
      <c r="A86" s="1014" t="s">
        <v>261</v>
      </c>
      <c r="B86" s="1015"/>
      <c r="C86" s="22">
        <f t="shared" ref="C86:L86" ca="1" si="109">C75-C84</f>
        <v>0</v>
      </c>
      <c r="D86" s="22">
        <f t="shared" ca="1" si="109"/>
        <v>0</v>
      </c>
      <c r="E86" s="22">
        <f t="shared" ca="1" si="109"/>
        <v>0</v>
      </c>
      <c r="F86" s="22">
        <f t="shared" ca="1" si="109"/>
        <v>0</v>
      </c>
      <c r="G86" s="22">
        <f t="shared" ca="1" si="109"/>
        <v>0</v>
      </c>
      <c r="H86" s="22">
        <f t="shared" ca="1" si="109"/>
        <v>0</v>
      </c>
      <c r="I86" s="22">
        <f t="shared" ca="1" si="109"/>
        <v>0</v>
      </c>
      <c r="J86" s="22">
        <f t="shared" ca="1" si="109"/>
        <v>0</v>
      </c>
      <c r="K86" s="22">
        <f t="shared" ca="1" si="109"/>
        <v>0</v>
      </c>
      <c r="L86" s="22">
        <f t="shared" ca="1" si="109"/>
        <v>0</v>
      </c>
    </row>
    <row r="87" spans="1:22" s="143" customFormat="1" ht="5.25" customHeight="1" x14ac:dyDescent="0.25">
      <c r="A87" s="197"/>
      <c r="B87" s="197"/>
      <c r="C87" s="12"/>
      <c r="D87" s="12"/>
      <c r="E87" s="12"/>
      <c r="F87" s="12"/>
      <c r="G87" s="12"/>
      <c r="H87" s="12"/>
      <c r="I87" s="12"/>
      <c r="J87" s="12"/>
      <c r="K87" s="12"/>
      <c r="L87" s="12"/>
      <c r="N87"/>
      <c r="O87"/>
      <c r="P87"/>
      <c r="Q87"/>
      <c r="R87"/>
      <c r="S87"/>
      <c r="T87"/>
      <c r="U87"/>
    </row>
    <row r="88" spans="1:22" x14ac:dyDescent="0.25">
      <c r="A88" s="721" t="str">
        <f t="shared" ref="A88:A100" si="110">$A18</f>
        <v/>
      </c>
      <c r="B88" s="723"/>
      <c r="C88" s="23">
        <f t="shared" ref="C88:C102" si="111">L53</f>
        <v>0</v>
      </c>
      <c r="D88" s="23">
        <f t="shared" ref="D88:D90" si="112">C88</f>
        <v>0</v>
      </c>
      <c r="E88" s="23">
        <f t="shared" ref="E88:E90" si="113">D88</f>
        <v>0</v>
      </c>
      <c r="F88" s="23">
        <f t="shared" ref="F88:F90" si="114">E88</f>
        <v>0</v>
      </c>
      <c r="G88" s="23">
        <f t="shared" ref="G88:G90" si="115">F88</f>
        <v>0</v>
      </c>
      <c r="H88" s="23">
        <f t="shared" ref="H88:H90" si="116">G88</f>
        <v>0</v>
      </c>
      <c r="I88" s="23">
        <f t="shared" ref="I88:I90" si="117">H88</f>
        <v>0</v>
      </c>
      <c r="J88" s="23">
        <f t="shared" ref="J88:J90" si="118">I88</f>
        <v>0</v>
      </c>
      <c r="K88" s="23">
        <f t="shared" ref="K88:K90" si="119">J88</f>
        <v>0</v>
      </c>
      <c r="L88" s="23">
        <f t="shared" ref="L88:L90" si="120">K88</f>
        <v>0</v>
      </c>
    </row>
    <row r="89" spans="1:22" x14ac:dyDescent="0.25">
      <c r="A89" s="721" t="str">
        <f t="shared" si="110"/>
        <v/>
      </c>
      <c r="B89" s="723"/>
      <c r="C89" s="23">
        <f t="shared" si="111"/>
        <v>0</v>
      </c>
      <c r="D89" s="23">
        <f t="shared" ref="D89" si="121">C89</f>
        <v>0</v>
      </c>
      <c r="E89" s="23">
        <f t="shared" ref="E89" si="122">D89</f>
        <v>0</v>
      </c>
      <c r="F89" s="23">
        <f t="shared" ref="F89" si="123">E89</f>
        <v>0</v>
      </c>
      <c r="G89" s="23">
        <f t="shared" ref="G89" si="124">F89</f>
        <v>0</v>
      </c>
      <c r="H89" s="23">
        <f t="shared" ref="H89" si="125">G89</f>
        <v>0</v>
      </c>
      <c r="I89" s="23">
        <f t="shared" ref="I89" si="126">H89</f>
        <v>0</v>
      </c>
      <c r="J89" s="23">
        <f t="shared" ref="J89" si="127">I89</f>
        <v>0</v>
      </c>
      <c r="K89" s="23">
        <f t="shared" ref="K89" si="128">J89</f>
        <v>0</v>
      </c>
      <c r="L89" s="23">
        <f t="shared" ref="L89" si="129">K89</f>
        <v>0</v>
      </c>
    </row>
    <row r="90" spans="1:22" x14ac:dyDescent="0.25">
      <c r="A90" s="721" t="str">
        <f t="shared" si="110"/>
        <v/>
      </c>
      <c r="B90" s="723"/>
      <c r="C90" s="23">
        <f t="shared" si="111"/>
        <v>0</v>
      </c>
      <c r="D90" s="23">
        <f t="shared" si="112"/>
        <v>0</v>
      </c>
      <c r="E90" s="23">
        <f t="shared" si="113"/>
        <v>0</v>
      </c>
      <c r="F90" s="23">
        <f t="shared" si="114"/>
        <v>0</v>
      </c>
      <c r="G90" s="23">
        <f t="shared" si="115"/>
        <v>0</v>
      </c>
      <c r="H90" s="23">
        <f t="shared" si="116"/>
        <v>0</v>
      </c>
      <c r="I90" s="23">
        <f t="shared" si="117"/>
        <v>0</v>
      </c>
      <c r="J90" s="23">
        <f t="shared" si="118"/>
        <v>0</v>
      </c>
      <c r="K90" s="23">
        <f t="shared" si="119"/>
        <v>0</v>
      </c>
      <c r="L90" s="23">
        <f t="shared" si="120"/>
        <v>0</v>
      </c>
    </row>
    <row r="91" spans="1:22" x14ac:dyDescent="0.25">
      <c r="A91" s="721" t="str">
        <f t="shared" si="110"/>
        <v>Debt Source 1</v>
      </c>
      <c r="B91" s="723"/>
      <c r="C91" s="23">
        <f t="shared" si="111"/>
        <v>0</v>
      </c>
      <c r="D91" s="23">
        <f t="shared" ref="D91:L91" si="130">C91</f>
        <v>0</v>
      </c>
      <c r="E91" s="23">
        <f t="shared" si="130"/>
        <v>0</v>
      </c>
      <c r="F91" s="23">
        <f t="shared" si="130"/>
        <v>0</v>
      </c>
      <c r="G91" s="23">
        <f t="shared" si="130"/>
        <v>0</v>
      </c>
      <c r="H91" s="23">
        <f t="shared" si="130"/>
        <v>0</v>
      </c>
      <c r="I91" s="23">
        <f t="shared" si="130"/>
        <v>0</v>
      </c>
      <c r="J91" s="23">
        <f t="shared" si="130"/>
        <v>0</v>
      </c>
      <c r="K91" s="23">
        <f t="shared" si="130"/>
        <v>0</v>
      </c>
      <c r="L91" s="23">
        <f t="shared" si="130"/>
        <v>0</v>
      </c>
    </row>
    <row r="92" spans="1:22" x14ac:dyDescent="0.25">
      <c r="A92" s="721" t="str">
        <f t="shared" si="110"/>
        <v>Debt Source 2</v>
      </c>
      <c r="B92" s="723"/>
      <c r="C92" s="23">
        <f t="shared" si="111"/>
        <v>0</v>
      </c>
      <c r="D92" s="23">
        <f t="shared" ref="D92:L92" si="131">C92</f>
        <v>0</v>
      </c>
      <c r="E92" s="23">
        <f t="shared" si="131"/>
        <v>0</v>
      </c>
      <c r="F92" s="23">
        <f t="shared" si="131"/>
        <v>0</v>
      </c>
      <c r="G92" s="23">
        <f t="shared" si="131"/>
        <v>0</v>
      </c>
      <c r="H92" s="23">
        <f t="shared" si="131"/>
        <v>0</v>
      </c>
      <c r="I92" s="23">
        <f t="shared" si="131"/>
        <v>0</v>
      </c>
      <c r="J92" s="23">
        <f t="shared" si="131"/>
        <v>0</v>
      </c>
      <c r="K92" s="23">
        <f t="shared" si="131"/>
        <v>0</v>
      </c>
      <c r="L92" s="23">
        <f t="shared" si="131"/>
        <v>0</v>
      </c>
    </row>
    <row r="93" spans="1:22" x14ac:dyDescent="0.25">
      <c r="A93" s="721" t="str">
        <f t="shared" si="110"/>
        <v>Debt Source 3</v>
      </c>
      <c r="B93" s="723"/>
      <c r="C93" s="23">
        <f t="shared" si="111"/>
        <v>0</v>
      </c>
      <c r="D93" s="23">
        <f t="shared" ref="D93:L93" si="132">C93</f>
        <v>0</v>
      </c>
      <c r="E93" s="23">
        <f t="shared" si="132"/>
        <v>0</v>
      </c>
      <c r="F93" s="23">
        <f t="shared" si="132"/>
        <v>0</v>
      </c>
      <c r="G93" s="23">
        <f t="shared" si="132"/>
        <v>0</v>
      </c>
      <c r="H93" s="23">
        <f t="shared" si="132"/>
        <v>0</v>
      </c>
      <c r="I93" s="23">
        <f t="shared" si="132"/>
        <v>0</v>
      </c>
      <c r="J93" s="23">
        <f t="shared" si="132"/>
        <v>0</v>
      </c>
      <c r="K93" s="23">
        <f t="shared" si="132"/>
        <v>0</v>
      </c>
      <c r="L93" s="23">
        <f t="shared" si="132"/>
        <v>0</v>
      </c>
    </row>
    <row r="94" spans="1:22" x14ac:dyDescent="0.25">
      <c r="A94" s="721" t="str">
        <f t="shared" si="110"/>
        <v>Debt Source 4</v>
      </c>
      <c r="B94" s="723"/>
      <c r="C94" s="23">
        <f t="shared" si="111"/>
        <v>0</v>
      </c>
      <c r="D94" s="23">
        <f t="shared" ref="D94:L94" si="133">C94</f>
        <v>0</v>
      </c>
      <c r="E94" s="23">
        <f t="shared" si="133"/>
        <v>0</v>
      </c>
      <c r="F94" s="23">
        <f t="shared" si="133"/>
        <v>0</v>
      </c>
      <c r="G94" s="23">
        <f t="shared" si="133"/>
        <v>0</v>
      </c>
      <c r="H94" s="23">
        <f t="shared" si="133"/>
        <v>0</v>
      </c>
      <c r="I94" s="23">
        <f t="shared" si="133"/>
        <v>0</v>
      </c>
      <c r="J94" s="23">
        <f t="shared" si="133"/>
        <v>0</v>
      </c>
      <c r="K94" s="23">
        <f t="shared" si="133"/>
        <v>0</v>
      </c>
      <c r="L94" s="23">
        <f t="shared" si="133"/>
        <v>0</v>
      </c>
    </row>
    <row r="95" spans="1:22" x14ac:dyDescent="0.25">
      <c r="A95" s="721" t="str">
        <f t="shared" si="110"/>
        <v>Debt Source 5</v>
      </c>
      <c r="B95" s="723"/>
      <c r="C95" s="23">
        <f t="shared" si="111"/>
        <v>0</v>
      </c>
      <c r="D95" s="23">
        <f t="shared" ref="D95:L95" si="134">C95</f>
        <v>0</v>
      </c>
      <c r="E95" s="23">
        <f t="shared" si="134"/>
        <v>0</v>
      </c>
      <c r="F95" s="23">
        <f t="shared" si="134"/>
        <v>0</v>
      </c>
      <c r="G95" s="23">
        <f t="shared" si="134"/>
        <v>0</v>
      </c>
      <c r="H95" s="23">
        <f t="shared" si="134"/>
        <v>0</v>
      </c>
      <c r="I95" s="23">
        <f t="shared" si="134"/>
        <v>0</v>
      </c>
      <c r="J95" s="23">
        <f t="shared" si="134"/>
        <v>0</v>
      </c>
      <c r="K95" s="23">
        <f t="shared" si="134"/>
        <v>0</v>
      </c>
      <c r="L95" s="23">
        <f t="shared" si="134"/>
        <v>0</v>
      </c>
    </row>
    <row r="96" spans="1:22" x14ac:dyDescent="0.25">
      <c r="A96" s="721" t="str">
        <f t="shared" si="110"/>
        <v>Debt Source 6</v>
      </c>
      <c r="B96" s="723"/>
      <c r="C96" s="23">
        <f t="shared" si="111"/>
        <v>0</v>
      </c>
      <c r="D96" s="23">
        <f t="shared" ref="D96:L96" si="135">C96</f>
        <v>0</v>
      </c>
      <c r="E96" s="23">
        <f t="shared" si="135"/>
        <v>0</v>
      </c>
      <c r="F96" s="23">
        <f t="shared" si="135"/>
        <v>0</v>
      </c>
      <c r="G96" s="23">
        <f t="shared" si="135"/>
        <v>0</v>
      </c>
      <c r="H96" s="23">
        <f t="shared" si="135"/>
        <v>0</v>
      </c>
      <c r="I96" s="23">
        <f t="shared" si="135"/>
        <v>0</v>
      </c>
      <c r="J96" s="23">
        <f t="shared" si="135"/>
        <v>0</v>
      </c>
      <c r="K96" s="23">
        <f t="shared" si="135"/>
        <v>0</v>
      </c>
      <c r="L96" s="23">
        <f t="shared" si="135"/>
        <v>0</v>
      </c>
    </row>
    <row r="97" spans="1:22" ht="15.75" x14ac:dyDescent="0.25">
      <c r="A97" s="721" t="str">
        <f t="shared" si="110"/>
        <v>Debt Source 7</v>
      </c>
      <c r="B97" s="723"/>
      <c r="C97" s="23">
        <f t="shared" si="111"/>
        <v>0</v>
      </c>
      <c r="D97" s="23">
        <f t="shared" ref="D97:L97" si="136">C97</f>
        <v>0</v>
      </c>
      <c r="E97" s="23">
        <f t="shared" si="136"/>
        <v>0</v>
      </c>
      <c r="F97" s="23">
        <f t="shared" si="136"/>
        <v>0</v>
      </c>
      <c r="G97" s="23">
        <f t="shared" si="136"/>
        <v>0</v>
      </c>
      <c r="H97" s="23">
        <f t="shared" si="136"/>
        <v>0</v>
      </c>
      <c r="I97" s="23">
        <f t="shared" si="136"/>
        <v>0</v>
      </c>
      <c r="J97" s="23">
        <f t="shared" si="136"/>
        <v>0</v>
      </c>
      <c r="K97" s="23">
        <f t="shared" si="136"/>
        <v>0</v>
      </c>
      <c r="L97" s="23">
        <f t="shared" si="136"/>
        <v>0</v>
      </c>
      <c r="M97" s="205"/>
      <c r="N97" s="205"/>
      <c r="O97" s="205"/>
      <c r="P97" s="205"/>
      <c r="Q97" s="205"/>
      <c r="R97" s="205"/>
    </row>
    <row r="98" spans="1:22" s="205" customFormat="1" ht="15.75" x14ac:dyDescent="0.25">
      <c r="A98" s="721" t="str">
        <f t="shared" si="110"/>
        <v>Debt Source 8</v>
      </c>
      <c r="B98" s="723"/>
      <c r="C98" s="23">
        <f t="shared" si="111"/>
        <v>0</v>
      </c>
      <c r="D98" s="23">
        <f t="shared" ref="D98:L98" si="137">C98</f>
        <v>0</v>
      </c>
      <c r="E98" s="23">
        <f t="shared" si="137"/>
        <v>0</v>
      </c>
      <c r="F98" s="23">
        <f t="shared" si="137"/>
        <v>0</v>
      </c>
      <c r="G98" s="23">
        <f t="shared" si="137"/>
        <v>0</v>
      </c>
      <c r="H98" s="23">
        <f t="shared" si="137"/>
        <v>0</v>
      </c>
      <c r="I98" s="23">
        <f t="shared" si="137"/>
        <v>0</v>
      </c>
      <c r="J98" s="23">
        <f t="shared" si="137"/>
        <v>0</v>
      </c>
      <c r="K98" s="23">
        <f t="shared" si="137"/>
        <v>0</v>
      </c>
      <c r="L98" s="23">
        <f t="shared" si="137"/>
        <v>0</v>
      </c>
      <c r="M98" s="198"/>
      <c r="N98" s="198"/>
      <c r="O98" s="198"/>
      <c r="P98" s="198"/>
      <c r="Q98" s="198"/>
      <c r="R98" s="198"/>
      <c r="S98"/>
      <c r="T98"/>
      <c r="U98"/>
      <c r="V98"/>
    </row>
    <row r="99" spans="1:22" s="198" customFormat="1" x14ac:dyDescent="0.25">
      <c r="A99" s="721" t="str">
        <f t="shared" si="110"/>
        <v>Debt Source 9</v>
      </c>
      <c r="B99" s="723"/>
      <c r="C99" s="23">
        <f t="shared" si="111"/>
        <v>0</v>
      </c>
      <c r="D99" s="23">
        <f t="shared" ref="D99:L99" si="138">C99</f>
        <v>0</v>
      </c>
      <c r="E99" s="23">
        <f t="shared" si="138"/>
        <v>0</v>
      </c>
      <c r="F99" s="23">
        <f t="shared" si="138"/>
        <v>0</v>
      </c>
      <c r="G99" s="23">
        <f t="shared" si="138"/>
        <v>0</v>
      </c>
      <c r="H99" s="23">
        <f t="shared" si="138"/>
        <v>0</v>
      </c>
      <c r="I99" s="23">
        <f t="shared" si="138"/>
        <v>0</v>
      </c>
      <c r="J99" s="23">
        <f t="shared" si="138"/>
        <v>0</v>
      </c>
      <c r="K99" s="23">
        <f t="shared" si="138"/>
        <v>0</v>
      </c>
      <c r="L99" s="23">
        <f t="shared" si="138"/>
        <v>0</v>
      </c>
      <c r="M99"/>
      <c r="N99"/>
      <c r="O99"/>
      <c r="P99"/>
      <c r="Q99"/>
      <c r="R99"/>
      <c r="S99"/>
      <c r="T99"/>
      <c r="U99"/>
      <c r="V99"/>
    </row>
    <row r="100" spans="1:22" x14ac:dyDescent="0.25">
      <c r="A100" s="721" t="str">
        <f t="shared" si="110"/>
        <v>Debt Source 10</v>
      </c>
      <c r="B100" s="723"/>
      <c r="C100" s="23">
        <f t="shared" si="111"/>
        <v>0</v>
      </c>
      <c r="D100" s="23">
        <f t="shared" ref="D100:L100" si="139">C100</f>
        <v>0</v>
      </c>
      <c r="E100" s="23">
        <f t="shared" si="139"/>
        <v>0</v>
      </c>
      <c r="F100" s="23">
        <f t="shared" si="139"/>
        <v>0</v>
      </c>
      <c r="G100" s="23">
        <f t="shared" si="139"/>
        <v>0</v>
      </c>
      <c r="H100" s="23">
        <f t="shared" si="139"/>
        <v>0</v>
      </c>
      <c r="I100" s="23">
        <f t="shared" si="139"/>
        <v>0</v>
      </c>
      <c r="J100" s="23">
        <f t="shared" si="139"/>
        <v>0</v>
      </c>
      <c r="K100" s="23">
        <f t="shared" si="139"/>
        <v>0</v>
      </c>
      <c r="L100" s="23">
        <f t="shared" si="139"/>
        <v>0</v>
      </c>
    </row>
    <row r="101" spans="1:22" ht="15.75" customHeight="1" x14ac:dyDescent="0.25">
      <c r="A101" s="1019" t="str">
        <f>IF(A31&lt;1," ",A31)</f>
        <v>Deferred Developer Fee</v>
      </c>
      <c r="B101" s="1020"/>
      <c r="C101" s="23">
        <f t="shared" si="111"/>
        <v>0</v>
      </c>
      <c r="D101" s="23">
        <f t="shared" ref="D101:L101" si="140">C101</f>
        <v>0</v>
      </c>
      <c r="E101" s="23">
        <f t="shared" si="140"/>
        <v>0</v>
      </c>
      <c r="F101" s="23">
        <f t="shared" si="140"/>
        <v>0</v>
      </c>
      <c r="G101" s="23">
        <f t="shared" si="140"/>
        <v>0</v>
      </c>
      <c r="H101" s="23">
        <f t="shared" si="140"/>
        <v>0</v>
      </c>
      <c r="I101" s="23">
        <f t="shared" si="140"/>
        <v>0</v>
      </c>
      <c r="J101" s="23">
        <f t="shared" si="140"/>
        <v>0</v>
      </c>
      <c r="K101" s="23">
        <f t="shared" si="140"/>
        <v>0</v>
      </c>
      <c r="L101" s="23">
        <f t="shared" si="140"/>
        <v>0</v>
      </c>
      <c r="S101" s="205"/>
      <c r="T101" s="205"/>
      <c r="U101" s="205"/>
      <c r="V101" s="205"/>
    </row>
    <row r="102" spans="1:22" x14ac:dyDescent="0.25">
      <c r="A102" s="1006" t="str">
        <f>IF(A32&lt;1," ",A32)</f>
        <v>BND FlexPACE Interest Buydown</v>
      </c>
      <c r="B102" s="1007"/>
      <c r="C102" s="23">
        <f t="shared" si="111"/>
        <v>0</v>
      </c>
      <c r="D102" s="23">
        <f t="shared" ref="D102:L102" si="141">C102</f>
        <v>0</v>
      </c>
      <c r="E102" s="23">
        <f t="shared" si="141"/>
        <v>0</v>
      </c>
      <c r="F102" s="23">
        <f t="shared" si="141"/>
        <v>0</v>
      </c>
      <c r="G102" s="23">
        <f t="shared" si="141"/>
        <v>0</v>
      </c>
      <c r="H102" s="23">
        <f t="shared" si="141"/>
        <v>0</v>
      </c>
      <c r="I102" s="23">
        <f t="shared" si="141"/>
        <v>0</v>
      </c>
      <c r="J102" s="23">
        <f t="shared" si="141"/>
        <v>0</v>
      </c>
      <c r="K102" s="23">
        <f t="shared" si="141"/>
        <v>0</v>
      </c>
      <c r="L102" s="23">
        <f t="shared" si="141"/>
        <v>0</v>
      </c>
      <c r="S102" s="198"/>
      <c r="T102" s="198"/>
      <c r="U102" s="198"/>
      <c r="V102" s="198"/>
    </row>
    <row r="103" spans="1:22" x14ac:dyDescent="0.25">
      <c r="A103" s="789" t="s">
        <v>262</v>
      </c>
      <c r="B103" s="891"/>
      <c r="C103" s="204">
        <f t="shared" ref="C103:L103" si="142">SUM(C88:C102)</f>
        <v>0</v>
      </c>
      <c r="D103" s="204">
        <f t="shared" si="142"/>
        <v>0</v>
      </c>
      <c r="E103" s="204">
        <f t="shared" si="142"/>
        <v>0</v>
      </c>
      <c r="F103" s="204">
        <f t="shared" si="142"/>
        <v>0</v>
      </c>
      <c r="G103" s="204">
        <f t="shared" si="142"/>
        <v>0</v>
      </c>
      <c r="H103" s="204">
        <f t="shared" si="142"/>
        <v>0</v>
      </c>
      <c r="I103" s="204">
        <f t="shared" si="142"/>
        <v>0</v>
      </c>
      <c r="J103" s="204">
        <f t="shared" si="142"/>
        <v>0</v>
      </c>
      <c r="K103" s="204">
        <f t="shared" si="142"/>
        <v>0</v>
      </c>
      <c r="L103" s="204">
        <f t="shared" si="142"/>
        <v>0</v>
      </c>
    </row>
    <row r="104" spans="1:22" ht="15.75" x14ac:dyDescent="0.25">
      <c r="A104" s="1016" t="str">
        <f>$A$34</f>
        <v>Debt-Coverage Ratio (DCR)</v>
      </c>
      <c r="B104" s="1016"/>
      <c r="C104" s="206" t="str">
        <f ca="1">IF($A104='Project Summary'!$Q$190,IFERROR(C75/C84,""),IFERROR(C86/C103,""))</f>
        <v/>
      </c>
      <c r="D104" s="206" t="str">
        <f ca="1">IF($A104='Project Summary'!$Q$190,IFERROR(D75/D84,""),IFERROR(D86/D103,""))</f>
        <v/>
      </c>
      <c r="E104" s="206" t="str">
        <f ca="1">IF($A104='Project Summary'!$Q$190,IFERROR(E75/E84,""),IFERROR(E86/E103,""))</f>
        <v/>
      </c>
      <c r="F104" s="206" t="str">
        <f ca="1">IF($A104='Project Summary'!$Q$190,IFERROR(F75/F84,""),IFERROR(F86/F103,""))</f>
        <v/>
      </c>
      <c r="G104" s="206" t="str">
        <f ca="1">IF($A104='Project Summary'!$Q$190,IFERROR(G75/G84,""),IFERROR(G86/G103,""))</f>
        <v/>
      </c>
      <c r="H104" s="206" t="str">
        <f ca="1">IF($A104='Project Summary'!$Q$190,IFERROR(H75/H84,""),IFERROR(H86/H103,""))</f>
        <v/>
      </c>
      <c r="I104" s="206" t="str">
        <f ca="1">IF($A104='Project Summary'!$Q$190,IFERROR(I75/I84,""),IFERROR(I86/I103,""))</f>
        <v/>
      </c>
      <c r="J104" s="206" t="str">
        <f ca="1">IF($A104='Project Summary'!$Q$190,IFERROR(J75/J84,""),IFERROR(J86/J103,""))</f>
        <v/>
      </c>
      <c r="K104" s="206" t="str">
        <f ca="1">IF($A104='Project Summary'!$Q$190,IFERROR(K75/K84,""),IFERROR(K86/K103,""))</f>
        <v/>
      </c>
      <c r="L104" s="206" t="str">
        <f ca="1">IF($A104='Project Summary'!$Q$190,IFERROR(L75/L84,""),IFERROR(L86/L103,""))</f>
        <v/>
      </c>
    </row>
    <row r="105" spans="1:22" x14ac:dyDescent="0.25">
      <c r="A105" s="880" t="s">
        <v>263</v>
      </c>
      <c r="B105" s="881"/>
      <c r="C105" s="24">
        <f t="shared" ref="C105:L105" ca="1" si="143">C86-C103</f>
        <v>0</v>
      </c>
      <c r="D105" s="24">
        <f t="shared" ca="1" si="143"/>
        <v>0</v>
      </c>
      <c r="E105" s="24">
        <f t="shared" ca="1" si="143"/>
        <v>0</v>
      </c>
      <c r="F105" s="24">
        <f t="shared" ca="1" si="143"/>
        <v>0</v>
      </c>
      <c r="G105" s="24">
        <f t="shared" ca="1" si="143"/>
        <v>0</v>
      </c>
      <c r="H105" s="24">
        <f t="shared" ca="1" si="143"/>
        <v>0</v>
      </c>
      <c r="I105" s="24">
        <f t="shared" ca="1" si="143"/>
        <v>0</v>
      </c>
      <c r="J105" s="24">
        <f t="shared" ca="1" si="143"/>
        <v>0</v>
      </c>
      <c r="K105" s="24">
        <f t="shared" ca="1" si="143"/>
        <v>0</v>
      </c>
      <c r="L105" s="24">
        <f t="shared" ca="1" si="143"/>
        <v>0</v>
      </c>
    </row>
    <row r="106" spans="1:22" x14ac:dyDescent="0.25">
      <c r="A106" s="880" t="s">
        <v>264</v>
      </c>
      <c r="B106" s="881"/>
      <c r="C106" s="17">
        <f t="shared" ref="C106:L106" ca="1" si="144">IFERROR(C105/C84,0)</f>
        <v>0</v>
      </c>
      <c r="D106" s="17">
        <f t="shared" ca="1" si="144"/>
        <v>0</v>
      </c>
      <c r="E106" s="17">
        <f t="shared" ca="1" si="144"/>
        <v>0</v>
      </c>
      <c r="F106" s="17">
        <f t="shared" ca="1" si="144"/>
        <v>0</v>
      </c>
      <c r="G106" s="17">
        <f t="shared" ca="1" si="144"/>
        <v>0</v>
      </c>
      <c r="H106" s="17">
        <f t="shared" ca="1" si="144"/>
        <v>0</v>
      </c>
      <c r="I106" s="17">
        <f t="shared" ca="1" si="144"/>
        <v>0</v>
      </c>
      <c r="J106" s="17">
        <f t="shared" ca="1" si="144"/>
        <v>0</v>
      </c>
      <c r="K106" s="17">
        <f t="shared" ca="1" si="144"/>
        <v>0</v>
      </c>
      <c r="L106" s="17">
        <f t="shared" ca="1" si="144"/>
        <v>0</v>
      </c>
    </row>
    <row r="107" spans="1:22" x14ac:dyDescent="0.25">
      <c r="A107" s="198"/>
      <c r="C107" s="15"/>
      <c r="D107" s="15"/>
      <c r="E107" s="15"/>
      <c r="F107" s="15"/>
      <c r="G107" s="15"/>
      <c r="H107" s="15"/>
      <c r="I107" s="15"/>
      <c r="J107" s="15"/>
      <c r="K107" s="15"/>
      <c r="L107" s="15"/>
    </row>
  </sheetData>
  <sheetProtection algorithmName="SHA-512" hashValue="qeK7jM3cVnieR34XHkxamQ0gW8G7vklYQJJu2zmqGe0Vv03EDdovMWhygV172pmuMaXBtaKCCXT7A2sV/KoklA==" saltValue="rLF+CroW+geMKIK5Ix2Kiw==" spinCount="100000" sheet="1" objects="1" scenarios="1"/>
  <mergeCells count="110">
    <mergeCell ref="A18:B18"/>
    <mergeCell ref="A19:B19"/>
    <mergeCell ref="A7:B7"/>
    <mergeCell ref="A8:B8"/>
    <mergeCell ref="A9:B9"/>
    <mergeCell ref="A10:B10"/>
    <mergeCell ref="A11:B11"/>
    <mergeCell ref="A12:B12"/>
    <mergeCell ref="A13:B13"/>
    <mergeCell ref="A14:B14"/>
    <mergeCell ref="A16:B16"/>
    <mergeCell ref="A89:B89"/>
    <mergeCell ref="A91:B91"/>
    <mergeCell ref="A92:B92"/>
    <mergeCell ref="A88:B88"/>
    <mergeCell ref="A90:B90"/>
    <mergeCell ref="A25:B25"/>
    <mergeCell ref="A26:B26"/>
    <mergeCell ref="A27:B27"/>
    <mergeCell ref="A28:B28"/>
    <mergeCell ref="A29:B29"/>
    <mergeCell ref="A30:B30"/>
    <mergeCell ref="A31:B31"/>
    <mergeCell ref="A94:B94"/>
    <mergeCell ref="A104:B104"/>
    <mergeCell ref="A105:B105"/>
    <mergeCell ref="A106:B106"/>
    <mergeCell ref="A96:B96"/>
    <mergeCell ref="A97:B97"/>
    <mergeCell ref="A98:B98"/>
    <mergeCell ref="A99:B99"/>
    <mergeCell ref="A100:B100"/>
    <mergeCell ref="A101:B101"/>
    <mergeCell ref="A102:B102"/>
    <mergeCell ref="A103:B103"/>
    <mergeCell ref="A95:B95"/>
    <mergeCell ref="V20:V23"/>
    <mergeCell ref="S21:T21"/>
    <mergeCell ref="S23:T23"/>
    <mergeCell ref="A57:B57"/>
    <mergeCell ref="A93:B93"/>
    <mergeCell ref="A84:B84"/>
    <mergeCell ref="A70:B70"/>
    <mergeCell ref="A71:B71"/>
    <mergeCell ref="A74:B74"/>
    <mergeCell ref="A75:B75"/>
    <mergeCell ref="A77:B77"/>
    <mergeCell ref="A78:B78"/>
    <mergeCell ref="A79:B79"/>
    <mergeCell ref="A80:B80"/>
    <mergeCell ref="A81:B81"/>
    <mergeCell ref="A82:B82"/>
    <mergeCell ref="A62:B62"/>
    <mergeCell ref="A63:B63"/>
    <mergeCell ref="A64:B64"/>
    <mergeCell ref="A65:B65"/>
    <mergeCell ref="A66:B66"/>
    <mergeCell ref="A67:B67"/>
    <mergeCell ref="A68:B68"/>
    <mergeCell ref="S24:T24"/>
    <mergeCell ref="S14:U15"/>
    <mergeCell ref="U16:U17"/>
    <mergeCell ref="T16:T17"/>
    <mergeCell ref="S16:S17"/>
    <mergeCell ref="R16:R17"/>
    <mergeCell ref="Q16:Q17"/>
    <mergeCell ref="P16:P17"/>
    <mergeCell ref="O16:O17"/>
    <mergeCell ref="N16:N17"/>
    <mergeCell ref="N14:R15"/>
    <mergeCell ref="S19:T19"/>
    <mergeCell ref="S20:T20"/>
    <mergeCell ref="A86:B86"/>
    <mergeCell ref="A53:B53"/>
    <mergeCell ref="A56:B56"/>
    <mergeCell ref="A83:B83"/>
    <mergeCell ref="A69:B69"/>
    <mergeCell ref="A58:B58"/>
    <mergeCell ref="A59:B59"/>
    <mergeCell ref="A60:B60"/>
    <mergeCell ref="A61:B61"/>
    <mergeCell ref="A55:B55"/>
    <mergeCell ref="A54:B54"/>
    <mergeCell ref="A51:B51"/>
    <mergeCell ref="S22:T22"/>
    <mergeCell ref="A21:B21"/>
    <mergeCell ref="A1:L1"/>
    <mergeCell ref="A34:B34"/>
    <mergeCell ref="A36:B36"/>
    <mergeCell ref="A35:B35"/>
    <mergeCell ref="A47:B47"/>
    <mergeCell ref="A48:B48"/>
    <mergeCell ref="A49:B49"/>
    <mergeCell ref="A40:B40"/>
    <mergeCell ref="A42:B42"/>
    <mergeCell ref="A43:B43"/>
    <mergeCell ref="A44:B44"/>
    <mergeCell ref="A45:B45"/>
    <mergeCell ref="A20:B20"/>
    <mergeCell ref="A46:B46"/>
    <mergeCell ref="A39:B39"/>
    <mergeCell ref="A23:B23"/>
    <mergeCell ref="A24:B24"/>
    <mergeCell ref="A32:B32"/>
    <mergeCell ref="A33:B33"/>
    <mergeCell ref="G2:H2"/>
    <mergeCell ref="B2:E2"/>
    <mergeCell ref="A4:B4"/>
    <mergeCell ref="A22:B22"/>
    <mergeCell ref="A5:B5"/>
  </mergeCells>
  <conditionalFormatting sqref="C12:L12 C47:L47 C82:L82">
    <cfRule type="cellIs" dxfId="14" priority="6" operator="lessThan">
      <formula>0</formula>
    </cfRule>
  </conditionalFormatting>
  <conditionalFormatting sqref="C34:L34">
    <cfRule type="cellIs" dxfId="13" priority="10" operator="lessThan">
      <formula>1</formula>
    </cfRule>
  </conditionalFormatting>
  <conditionalFormatting sqref="C35:L37">
    <cfRule type="cellIs" dxfId="12" priority="5" operator="lessThan">
      <formula>0</formula>
    </cfRule>
  </conditionalFormatting>
  <conditionalFormatting sqref="C69:L69">
    <cfRule type="cellIs" dxfId="11" priority="2" operator="lessThan">
      <formula>1</formula>
    </cfRule>
  </conditionalFormatting>
  <conditionalFormatting sqref="C70:L72">
    <cfRule type="cellIs" dxfId="10" priority="4" operator="lessThan">
      <formula>0</formula>
    </cfRule>
  </conditionalFormatting>
  <conditionalFormatting sqref="C104:L104">
    <cfRule type="cellIs" dxfId="9" priority="1" operator="lessThan">
      <formula>1</formula>
    </cfRule>
  </conditionalFormatting>
  <conditionalFormatting sqref="C105:L107">
    <cfRule type="cellIs" dxfId="8" priority="3" operator="lessThan">
      <formula>0</formula>
    </cfRule>
  </conditionalFormatting>
  <hyperlinks>
    <hyperlink ref="S20:T20" r:id="rId1" location="1444406934900-37f12a94-d2fc" display="Community Match %:" xr:uid="{AB4291AB-3A75-4AF0-8D56-1689D6F54FE8}"/>
  </hyperlinks>
  <printOptions horizontalCentered="1"/>
  <pageMargins left="0.25" right="0.25" top="1" bottom="0.25" header="0.3" footer="0.3"/>
  <pageSetup scale="70" fitToHeight="3" orientation="landscape" horizontalDpi="1200" r:id="rId2"/>
  <rowBreaks count="2" manualBreakCount="2">
    <brk id="38" max="11" man="1"/>
    <brk id="73" max="11" man="1"/>
  </rowBreaks>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6C729B5-DBC8-4FE7-ABE1-36B47961393B}">
          <x14:formula1>
            <xm:f>'Project Summary'!$Q$189:$Q$190</xm:f>
          </x14:formula1>
          <xm:sqref>A34:B34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A6951-3F1E-4817-88D2-7CD013422DE4}">
  <dimension ref="A1:X91"/>
  <sheetViews>
    <sheetView zoomScaleNormal="100" workbookViewId="0">
      <selection activeCell="F3" sqref="F3"/>
    </sheetView>
  </sheetViews>
  <sheetFormatPr defaultRowHeight="15" x14ac:dyDescent="0.25"/>
  <cols>
    <col min="1" max="1" width="6" customWidth="1"/>
    <col min="2" max="2" width="9.85546875" customWidth="1"/>
    <col min="3" max="3" width="5.140625" customWidth="1"/>
    <col min="5" max="7" width="13.42578125" customWidth="1"/>
    <col min="8" max="8" width="14.140625" customWidth="1"/>
    <col min="9" max="9" width="14.28515625" customWidth="1"/>
    <col min="10" max="10" width="3.7109375" customWidth="1"/>
    <col min="23" max="23" width="1.85546875" bestFit="1" customWidth="1"/>
    <col min="24" max="24" width="9.7109375" bestFit="1" customWidth="1"/>
  </cols>
  <sheetData>
    <row r="1" spans="1:24" ht="18.75" x14ac:dyDescent="0.3">
      <c r="A1" s="733" t="s">
        <v>452</v>
      </c>
      <c r="B1" s="733"/>
      <c r="C1" s="733"/>
      <c r="D1" s="733"/>
      <c r="E1" s="733"/>
      <c r="F1" s="733"/>
      <c r="G1" s="733"/>
      <c r="H1" s="733"/>
      <c r="I1" s="733"/>
      <c r="K1" s="1076" t="s">
        <v>1033</v>
      </c>
      <c r="L1" s="1076"/>
      <c r="M1" s="592"/>
      <c r="N1" s="592"/>
    </row>
    <row r="2" spans="1:24" ht="9.9499999999999993" customHeight="1" x14ac:dyDescent="0.35">
      <c r="A2" s="162"/>
    </row>
    <row r="3" spans="1:24" ht="15.75" thickBot="1" x14ac:dyDescent="0.3">
      <c r="A3" s="679" t="s">
        <v>387</v>
      </c>
      <c r="B3" s="679"/>
      <c r="C3" s="679"/>
      <c r="D3" s="679"/>
      <c r="E3" s="679"/>
      <c r="F3" s="364"/>
      <c r="G3" s="163"/>
      <c r="K3" s="563" t="s">
        <v>1014</v>
      </c>
      <c r="L3" s="1033" t="s">
        <v>1023</v>
      </c>
      <c r="M3" s="1033"/>
      <c r="N3" s="1033"/>
      <c r="O3" s="1033"/>
      <c r="P3" s="1033"/>
      <c r="Q3" s="1033"/>
      <c r="R3" s="1033"/>
      <c r="S3" s="1033"/>
      <c r="T3" s="1033"/>
      <c r="U3" s="1033"/>
      <c r="V3" s="1033"/>
      <c r="W3" s="1033"/>
      <c r="X3" s="1033"/>
    </row>
    <row r="4" spans="1:24" x14ac:dyDescent="0.25">
      <c r="A4" s="679" t="s">
        <v>451</v>
      </c>
      <c r="B4" s="679"/>
      <c r="C4" s="679"/>
      <c r="D4" s="679"/>
      <c r="E4" s="679"/>
      <c r="F4" s="708"/>
      <c r="G4" s="709"/>
      <c r="H4" s="709"/>
      <c r="I4" s="710"/>
      <c r="K4" s="1034" t="s">
        <v>1015</v>
      </c>
      <c r="L4" s="1034"/>
      <c r="M4" s="1034"/>
      <c r="N4" s="1034"/>
      <c r="O4" s="1034"/>
      <c r="P4" s="1034"/>
      <c r="Q4" s="1034" t="s">
        <v>1016</v>
      </c>
      <c r="R4" s="1034"/>
      <c r="S4" s="1034" t="s">
        <v>1017</v>
      </c>
      <c r="T4" s="1034"/>
      <c r="U4" s="1034" t="s">
        <v>1018</v>
      </c>
      <c r="V4" s="1034"/>
      <c r="W4" s="1034"/>
      <c r="X4" s="1034"/>
    </row>
    <row r="5" spans="1:24" ht="9.9499999999999993" customHeight="1" x14ac:dyDescent="0.25">
      <c r="K5" s="1034"/>
      <c r="L5" s="1034"/>
      <c r="M5" s="1034"/>
      <c r="N5" s="1034"/>
      <c r="O5" s="1034"/>
      <c r="P5" s="1034"/>
      <c r="Q5" s="1034"/>
      <c r="R5" s="1034"/>
      <c r="S5" s="1034"/>
      <c r="T5" s="1034"/>
      <c r="U5" s="1034"/>
      <c r="V5" s="1034"/>
      <c r="W5" s="1034"/>
      <c r="X5" s="1034"/>
    </row>
    <row r="6" spans="1:24" x14ac:dyDescent="0.25">
      <c r="A6" s="679" t="s">
        <v>11</v>
      </c>
      <c r="B6" s="679"/>
      <c r="C6" s="1081" t="str">
        <f>IF('Project Summary'!$C$5&lt;1," ",'Project Summary'!$C$5)</f>
        <v xml:space="preserve"> </v>
      </c>
      <c r="D6" s="1081"/>
      <c r="E6" s="1081"/>
      <c r="K6" s="1022"/>
      <c r="L6" s="1022"/>
      <c r="M6" s="1022"/>
      <c r="N6" s="1022"/>
      <c r="O6" s="1022"/>
      <c r="P6" s="1022"/>
      <c r="Q6" s="1023"/>
      <c r="R6" s="1023"/>
      <c r="S6" s="1028"/>
      <c r="T6" s="1028"/>
      <c r="U6" s="1022"/>
      <c r="V6" s="1022"/>
      <c r="W6" s="1022"/>
      <c r="X6" s="1022"/>
    </row>
    <row r="7" spans="1:24" ht="15" customHeight="1" x14ac:dyDescent="0.25">
      <c r="A7" s="679" t="s">
        <v>13</v>
      </c>
      <c r="B7" s="679"/>
      <c r="C7" s="1082" t="str">
        <f>IF('Project Summary'!$C$8&lt;1," ",'Project Summary'!$C$8)</f>
        <v xml:space="preserve"> </v>
      </c>
      <c r="D7" s="1082"/>
      <c r="E7" s="1082"/>
      <c r="F7" s="1082"/>
      <c r="G7" s="1082"/>
      <c r="H7" s="1082"/>
      <c r="I7" s="1082"/>
      <c r="K7" s="1022"/>
      <c r="L7" s="1022"/>
      <c r="M7" s="1022"/>
      <c r="N7" s="1022"/>
      <c r="O7" s="1022"/>
      <c r="P7" s="1022"/>
      <c r="Q7" s="1023"/>
      <c r="R7" s="1023"/>
      <c r="S7" s="1028"/>
      <c r="T7" s="1028"/>
      <c r="U7" s="1022"/>
      <c r="V7" s="1022"/>
      <c r="W7" s="1022"/>
      <c r="X7" s="1022"/>
    </row>
    <row r="8" spans="1:24" ht="15" customHeight="1" x14ac:dyDescent="0.25">
      <c r="A8" s="679" t="s">
        <v>388</v>
      </c>
      <c r="B8" s="679"/>
      <c r="C8" s="1048" t="str">
        <f>IF(OR('Project Summary'!$C$19="No",'Project Summary'!$C$19=""),"",SUM('Project Summary'!$J$22:$J$28))</f>
        <v/>
      </c>
      <c r="D8" s="1048"/>
      <c r="E8" s="164" t="s">
        <v>491</v>
      </c>
      <c r="F8" s="165" t="str">
        <f>IF(OR('Project Summary'!$C$44="No",'Project Summary'!$C$44=""),"",'Project Summary'!$C$58)</f>
        <v/>
      </c>
      <c r="G8" s="164" t="s">
        <v>749</v>
      </c>
      <c r="H8" s="165" t="str">
        <f>IF(OR('Project Summary'!$C$66="No",'Project Summary'!$C$66=""),"",'Project Summary'!$D$77)</f>
        <v/>
      </c>
      <c r="K8" s="1022"/>
      <c r="L8" s="1022"/>
      <c r="M8" s="1022"/>
      <c r="N8" s="1022"/>
      <c r="O8" s="1022"/>
      <c r="P8" s="1022"/>
      <c r="Q8" s="1023"/>
      <c r="R8" s="1023"/>
      <c r="S8" s="1028"/>
      <c r="T8" s="1028"/>
      <c r="U8" s="1022"/>
      <c r="V8" s="1022"/>
      <c r="W8" s="1022"/>
      <c r="X8" s="1022"/>
    </row>
    <row r="9" spans="1:24" ht="15" customHeight="1" x14ac:dyDescent="0.25">
      <c r="A9" s="109"/>
      <c r="B9" s="109"/>
      <c r="C9" s="166"/>
      <c r="D9" s="166"/>
      <c r="E9" s="164"/>
      <c r="F9" s="167"/>
      <c r="G9" s="164"/>
      <c r="H9" s="1223"/>
      <c r="K9" s="1022"/>
      <c r="L9" s="1022"/>
      <c r="M9" s="1022"/>
      <c r="N9" s="1022"/>
      <c r="O9" s="1022"/>
      <c r="P9" s="1022"/>
      <c r="Q9" s="1023"/>
      <c r="R9" s="1023"/>
      <c r="S9" s="1028"/>
      <c r="T9" s="1028"/>
      <c r="U9" s="1022"/>
      <c r="V9" s="1022"/>
      <c r="W9" s="1022"/>
      <c r="X9" s="1022"/>
    </row>
    <row r="10" spans="1:24" ht="15" customHeight="1" x14ac:dyDescent="0.25">
      <c r="B10" s="679" t="s">
        <v>492</v>
      </c>
      <c r="C10" s="679"/>
      <c r="D10" s="679"/>
      <c r="E10" s="168">
        <f>COUNTIFS('Project SqFt'!$F$18:$F$87,"&lt;&gt;*Staff*",'Project SqFt'!$F$18:$F$87,"?*")+COUNTIFS('Project SqFt'!$M$18:$M$87,"&lt;&gt;*Staff*",'Project SqFt'!$M$18:$M$87,"?*")+COUNTIFS('Project SqFt'!$U$18:$U$87,"&lt;&gt;*Staff*",'Project SqFt'!$U$18:$U$87,"?*")</f>
        <v>0</v>
      </c>
      <c r="F10" s="108"/>
      <c r="G10" s="126"/>
      <c r="K10" s="1022"/>
      <c r="L10" s="1022"/>
      <c r="M10" s="1022"/>
      <c r="N10" s="1022"/>
      <c r="O10" s="1022"/>
      <c r="P10" s="1022"/>
      <c r="Q10" s="1023"/>
      <c r="R10" s="1023"/>
      <c r="S10" s="1028"/>
      <c r="T10" s="1028"/>
      <c r="U10" s="1022"/>
      <c r="V10" s="1022"/>
      <c r="W10" s="1022"/>
      <c r="X10" s="1022"/>
    </row>
    <row r="11" spans="1:24" ht="15" customHeight="1" x14ac:dyDescent="0.25">
      <c r="K11" s="1022"/>
      <c r="L11" s="1022"/>
      <c r="M11" s="1022"/>
      <c r="N11" s="1022"/>
      <c r="O11" s="1022"/>
      <c r="P11" s="1022"/>
      <c r="Q11" s="1023"/>
      <c r="R11" s="1023"/>
      <c r="S11" s="1028"/>
      <c r="T11" s="1028"/>
      <c r="U11" s="1022"/>
      <c r="V11" s="1022"/>
      <c r="W11" s="1022"/>
      <c r="X11" s="1022"/>
    </row>
    <row r="12" spans="1:24" s="126" customFormat="1" ht="15" customHeight="1" x14ac:dyDescent="0.25">
      <c r="A12" s="683" t="s">
        <v>389</v>
      </c>
      <c r="B12" s="683"/>
      <c r="C12" s="683"/>
      <c r="D12" s="683"/>
      <c r="E12" s="683"/>
      <c r="F12" s="683"/>
      <c r="G12" s="1049" t="s">
        <v>438</v>
      </c>
      <c r="H12" s="1049" t="s">
        <v>390</v>
      </c>
      <c r="I12" s="1049" t="s">
        <v>391</v>
      </c>
      <c r="K12" s="1022"/>
      <c r="L12" s="1022"/>
      <c r="M12" s="1022"/>
      <c r="N12" s="1022"/>
      <c r="O12" s="1022"/>
      <c r="P12" s="1022"/>
      <c r="Q12" s="1023"/>
      <c r="R12" s="1023"/>
      <c r="S12" s="1028"/>
      <c r="T12" s="1028"/>
      <c r="U12" s="1022"/>
      <c r="V12" s="1022"/>
      <c r="W12" s="1022"/>
      <c r="X12" s="1022"/>
    </row>
    <row r="13" spans="1:24" s="126" customFormat="1" ht="16.5" thickBot="1" x14ac:dyDescent="0.3">
      <c r="A13" s="1043" t="s">
        <v>392</v>
      </c>
      <c r="B13" s="1043"/>
      <c r="C13" s="1043"/>
      <c r="D13" s="1043"/>
      <c r="E13" s="1043"/>
      <c r="F13" s="1043"/>
      <c r="G13" s="1050"/>
      <c r="H13" s="1050"/>
      <c r="I13" s="1050"/>
      <c r="K13" s="1022"/>
      <c r="L13" s="1022"/>
      <c r="M13" s="1022"/>
      <c r="N13" s="1022"/>
      <c r="O13" s="1022"/>
      <c r="P13" s="1022"/>
      <c r="Q13" s="1023"/>
      <c r="R13" s="1023"/>
      <c r="S13" s="1028"/>
      <c r="T13" s="1028"/>
      <c r="U13" s="1022"/>
      <c r="V13" s="1022"/>
      <c r="W13" s="1022"/>
      <c r="X13" s="1022"/>
    </row>
    <row r="14" spans="1:24" s="126" customFormat="1" x14ac:dyDescent="0.25">
      <c r="A14" s="1067" t="s">
        <v>436</v>
      </c>
      <c r="B14" s="1068"/>
      <c r="C14" s="1068"/>
      <c r="D14" s="1068"/>
      <c r="E14" s="1068"/>
      <c r="F14" s="1068"/>
      <c r="G14" s="80">
        <f>'Development Budget'!$C$27</f>
        <v>0</v>
      </c>
      <c r="H14" s="169" t="s">
        <v>437</v>
      </c>
      <c r="I14" s="170">
        <v>0.14000000000000001</v>
      </c>
      <c r="K14" s="1022"/>
      <c r="L14" s="1022"/>
      <c r="M14" s="1022"/>
      <c r="N14" s="1022"/>
      <c r="O14" s="1022"/>
      <c r="P14" s="1022"/>
      <c r="Q14" s="1023"/>
      <c r="R14" s="1023"/>
      <c r="S14" s="1028"/>
      <c r="T14" s="1028"/>
      <c r="U14" s="1022"/>
      <c r="V14" s="1022"/>
      <c r="W14" s="1022"/>
      <c r="X14" s="1022"/>
    </row>
    <row r="15" spans="1:24" s="126" customFormat="1" x14ac:dyDescent="0.25">
      <c r="A15" s="1065" t="s">
        <v>441</v>
      </c>
      <c r="B15" s="1066"/>
      <c r="C15" s="1066"/>
      <c r="D15" s="1066"/>
      <c r="E15" s="1066"/>
      <c r="F15" s="1066"/>
      <c r="G15" s="81">
        <f>'Development Budget'!$E$112</f>
        <v>0</v>
      </c>
      <c r="H15" s="171">
        <v>0.12</v>
      </c>
      <c r="I15" s="172">
        <v>0.15</v>
      </c>
      <c r="K15" s="1022"/>
      <c r="L15" s="1022"/>
      <c r="M15" s="1022"/>
      <c r="N15" s="1022"/>
      <c r="O15" s="1022"/>
      <c r="P15" s="1022"/>
      <c r="Q15" s="1023"/>
      <c r="R15" s="1023"/>
      <c r="S15" s="1028"/>
      <c r="T15" s="1028"/>
      <c r="U15" s="1022"/>
      <c r="V15" s="1022"/>
      <c r="W15" s="1022"/>
      <c r="X15" s="1022"/>
    </row>
    <row r="16" spans="1:24" s="126" customFormat="1" x14ac:dyDescent="0.25">
      <c r="A16" s="1065" t="s">
        <v>393</v>
      </c>
      <c r="B16" s="1066"/>
      <c r="C16" s="1066"/>
      <c r="D16" s="1066"/>
      <c r="E16" s="1066"/>
      <c r="F16" s="1066"/>
      <c r="G16" s="82">
        <f>$I$38</f>
        <v>0</v>
      </c>
      <c r="H16" s="173">
        <v>0.8</v>
      </c>
      <c r="I16" s="174" t="s">
        <v>394</v>
      </c>
      <c r="K16" s="1022"/>
      <c r="L16" s="1022"/>
      <c r="M16" s="1022"/>
      <c r="N16" s="1022"/>
      <c r="O16" s="1022"/>
      <c r="P16" s="1022"/>
      <c r="Q16" s="1023"/>
      <c r="R16" s="1023"/>
      <c r="S16" s="1028"/>
      <c r="T16" s="1028"/>
      <c r="U16" s="1022"/>
      <c r="V16" s="1022"/>
      <c r="W16" s="1022"/>
      <c r="X16" s="1022"/>
    </row>
    <row r="17" spans="1:24" s="126" customFormat="1" x14ac:dyDescent="0.25">
      <c r="A17" s="1051" t="s">
        <v>1062</v>
      </c>
      <c r="B17" s="1052"/>
      <c r="C17" s="1052"/>
      <c r="D17" s="1052"/>
      <c r="E17" s="1052"/>
      <c r="F17" s="1052"/>
      <c r="G17" s="175">
        <f ca="1">$I$44</f>
        <v>0</v>
      </c>
      <c r="H17" s="176">
        <v>1.1000000000000001</v>
      </c>
      <c r="I17" s="174">
        <v>1.45</v>
      </c>
      <c r="K17" s="1022"/>
      <c r="L17" s="1022"/>
      <c r="M17" s="1022"/>
      <c r="N17" s="1022"/>
      <c r="O17" s="1022"/>
      <c r="P17" s="1022"/>
      <c r="Q17" s="1023"/>
      <c r="R17" s="1023"/>
      <c r="S17" s="1028"/>
      <c r="T17" s="1028"/>
      <c r="U17" s="1022"/>
      <c r="V17" s="1022"/>
      <c r="W17" s="1022"/>
      <c r="X17" s="1022"/>
    </row>
    <row r="18" spans="1:24" s="126" customFormat="1" x14ac:dyDescent="0.25">
      <c r="A18" s="1080" t="s">
        <v>395</v>
      </c>
      <c r="B18" s="793"/>
      <c r="C18" s="793"/>
      <c r="D18" s="793"/>
      <c r="E18" s="793"/>
      <c r="F18" s="794"/>
      <c r="G18" s="175">
        <f ca="1">$I$47</f>
        <v>0</v>
      </c>
      <c r="H18" s="176">
        <v>1.1000000000000001</v>
      </c>
      <c r="I18" s="174">
        <v>1.45</v>
      </c>
      <c r="K18" s="1022"/>
      <c r="L18" s="1022"/>
      <c r="M18" s="1022"/>
      <c r="N18" s="1022"/>
      <c r="O18" s="1022"/>
      <c r="P18" s="1022"/>
      <c r="Q18" s="1023"/>
      <c r="R18" s="1023"/>
      <c r="S18" s="1028"/>
      <c r="T18" s="1028"/>
      <c r="U18" s="1022"/>
      <c r="V18" s="1022"/>
      <c r="W18" s="1022"/>
      <c r="X18" s="1022"/>
    </row>
    <row r="19" spans="1:24" ht="14.25" customHeight="1" thickBot="1" x14ac:dyDescent="0.3">
      <c r="A19" s="1078" t="s">
        <v>396</v>
      </c>
      <c r="B19" s="1079"/>
      <c r="C19" s="1079"/>
      <c r="D19" s="1079"/>
      <c r="E19" s="1079"/>
      <c r="F19" s="1079"/>
      <c r="G19" s="596">
        <f ca="1">$I$51</f>
        <v>0</v>
      </c>
      <c r="H19" s="597" t="s">
        <v>1063</v>
      </c>
      <c r="I19" s="598">
        <v>0.1</v>
      </c>
    </row>
    <row r="20" spans="1:24" ht="16.5" thickBot="1" x14ac:dyDescent="0.3">
      <c r="A20" s="1053" t="s">
        <v>439</v>
      </c>
      <c r="B20" s="1053"/>
      <c r="C20" s="1053"/>
      <c r="D20" s="1053"/>
      <c r="E20" s="1053"/>
      <c r="F20" s="1053"/>
      <c r="G20" s="1053"/>
      <c r="H20" s="1053"/>
      <c r="I20" s="1053"/>
      <c r="K20" s="563" t="s">
        <v>1019</v>
      </c>
      <c r="L20" s="1033" t="s">
        <v>1024</v>
      </c>
      <c r="M20" s="1033"/>
      <c r="N20" s="1033"/>
      <c r="O20" s="1033"/>
      <c r="P20" s="1033"/>
      <c r="Q20" s="1033"/>
      <c r="R20" s="1033"/>
      <c r="S20" s="1033"/>
      <c r="T20" s="1033"/>
      <c r="U20" s="1033"/>
      <c r="V20" s="1033"/>
      <c r="W20" s="1033"/>
      <c r="X20" s="1033"/>
    </row>
    <row r="21" spans="1:24" x14ac:dyDescent="0.25">
      <c r="A21" s="1061" t="s">
        <v>397</v>
      </c>
      <c r="B21" s="1061"/>
      <c r="C21" s="1061"/>
      <c r="D21" s="1061"/>
      <c r="E21" s="1061"/>
      <c r="F21" s="1061"/>
      <c r="G21" s="1061"/>
      <c r="H21" s="1061"/>
      <c r="I21" s="137">
        <f>IF('Tax Credit Calc'!$C$35="",0,'Tax Credit Calc'!$C$35)</f>
        <v>0</v>
      </c>
      <c r="K21" s="1034" t="s">
        <v>1094</v>
      </c>
      <c r="L21" s="1034"/>
      <c r="M21" s="1034"/>
      <c r="N21" s="1034"/>
      <c r="O21" s="1034"/>
      <c r="P21" s="1034"/>
      <c r="Q21" s="1034" t="s">
        <v>1095</v>
      </c>
      <c r="R21" s="1034"/>
      <c r="S21" s="1034" t="s">
        <v>1020</v>
      </c>
      <c r="T21" s="1034"/>
      <c r="U21" s="1034" t="s">
        <v>1022</v>
      </c>
      <c r="V21" s="1034"/>
      <c r="W21" s="1034"/>
      <c r="X21" s="1034"/>
    </row>
    <row r="22" spans="1:24" ht="9.9499999999999993" customHeight="1" x14ac:dyDescent="0.25">
      <c r="A22" s="177"/>
      <c r="I22" s="178"/>
      <c r="K22" s="1034"/>
      <c r="L22" s="1034"/>
      <c r="M22" s="1034"/>
      <c r="N22" s="1034"/>
      <c r="O22" s="1034"/>
      <c r="P22" s="1034"/>
      <c r="Q22" s="1034"/>
      <c r="R22" s="1034"/>
      <c r="S22" s="1034"/>
      <c r="T22" s="1034"/>
      <c r="U22" s="1034"/>
      <c r="V22" s="1034"/>
      <c r="W22" s="1034"/>
      <c r="X22" s="1034"/>
    </row>
    <row r="23" spans="1:24" ht="15" customHeight="1" x14ac:dyDescent="0.25">
      <c r="A23" s="1035" t="s">
        <v>398</v>
      </c>
      <c r="B23" s="1035"/>
      <c r="C23" s="1035"/>
      <c r="D23" s="1035"/>
      <c r="E23" s="1035"/>
      <c r="F23" s="1035"/>
      <c r="G23" s="1035"/>
      <c r="H23" s="1035"/>
      <c r="I23" s="1035"/>
      <c r="K23" s="1022"/>
      <c r="L23" s="1022"/>
      <c r="M23" s="1022"/>
      <c r="N23" s="1022"/>
      <c r="O23" s="1022"/>
      <c r="P23" s="1022"/>
      <c r="Q23" s="1023"/>
      <c r="R23" s="1023"/>
      <c r="S23" s="1024"/>
      <c r="T23" s="1025"/>
      <c r="U23" s="1026"/>
      <c r="V23" s="1027"/>
      <c r="W23" s="564" t="s">
        <v>1021</v>
      </c>
      <c r="X23" s="623"/>
    </row>
    <row r="24" spans="1:24" x14ac:dyDescent="0.25">
      <c r="A24" s="1054" t="s">
        <v>399</v>
      </c>
      <c r="B24" s="1054"/>
      <c r="C24" s="1054"/>
      <c r="D24" s="1054"/>
      <c r="E24" s="1054"/>
      <c r="F24" s="1054"/>
      <c r="G24" s="1055"/>
      <c r="H24" s="138">
        <f>SUM('Tax Credit Calc'!$C$40:$C$41)</f>
        <v>0</v>
      </c>
      <c r="I24" s="179"/>
      <c r="K24" s="1022"/>
      <c r="L24" s="1022"/>
      <c r="M24" s="1022"/>
      <c r="N24" s="1022"/>
      <c r="O24" s="1022"/>
      <c r="P24" s="1022"/>
      <c r="Q24" s="1023"/>
      <c r="R24" s="1023"/>
      <c r="S24" s="1024"/>
      <c r="T24" s="1025"/>
      <c r="U24" s="1026"/>
      <c r="V24" s="1027"/>
      <c r="W24" s="564" t="s">
        <v>1021</v>
      </c>
      <c r="X24" s="623"/>
    </row>
    <row r="25" spans="1:24" hidden="1" x14ac:dyDescent="0.25">
      <c r="A25" s="177"/>
      <c r="B25" t="s">
        <v>400</v>
      </c>
      <c r="I25" s="180"/>
      <c r="K25" s="600"/>
      <c r="L25" s="600"/>
      <c r="M25" s="600"/>
      <c r="N25" s="600"/>
      <c r="O25" s="600"/>
      <c r="P25" s="600"/>
      <c r="Q25" s="601"/>
      <c r="R25" s="601"/>
      <c r="S25" s="601"/>
      <c r="T25" s="601"/>
      <c r="U25" s="601"/>
      <c r="V25" s="601"/>
      <c r="X25" s="624"/>
    </row>
    <row r="26" spans="1:24" ht="15" customHeight="1" x14ac:dyDescent="0.25">
      <c r="A26" s="1035" t="s">
        <v>401</v>
      </c>
      <c r="B26" s="1035"/>
      <c r="C26" s="1035"/>
      <c r="D26" s="1035"/>
      <c r="E26" s="1035"/>
      <c r="F26" s="1035"/>
      <c r="G26" s="1035"/>
      <c r="H26" s="1035"/>
      <c r="I26" s="1035"/>
      <c r="K26" s="1022"/>
      <c r="L26" s="1022"/>
      <c r="M26" s="1022"/>
      <c r="N26" s="1022"/>
      <c r="O26" s="1022"/>
      <c r="P26" s="1022"/>
      <c r="Q26" s="1023"/>
      <c r="R26" s="1023"/>
      <c r="S26" s="1024"/>
      <c r="T26" s="1025"/>
      <c r="U26" s="1026"/>
      <c r="V26" s="1027"/>
      <c r="W26" s="564" t="s">
        <v>1021</v>
      </c>
      <c r="X26" s="623"/>
    </row>
    <row r="27" spans="1:24" x14ac:dyDescent="0.25">
      <c r="A27" s="181"/>
      <c r="B27" s="182"/>
      <c r="C27" s="922" t="s">
        <v>402</v>
      </c>
      <c r="D27" s="944"/>
      <c r="E27" s="944"/>
      <c r="F27" s="944"/>
      <c r="G27" s="944"/>
      <c r="H27" s="138">
        <f>SUM('Tax Credit Calc'!$C$36:$C$39,'Tax Credit Calc'!$C$42:$C$44)</f>
        <v>0</v>
      </c>
      <c r="I27" s="84"/>
      <c r="K27" s="1022"/>
      <c r="L27" s="1022"/>
      <c r="M27" s="1022"/>
      <c r="N27" s="1022"/>
      <c r="O27" s="1022"/>
      <c r="P27" s="1022"/>
      <c r="Q27" s="1023"/>
      <c r="R27" s="1023"/>
      <c r="S27" s="1024"/>
      <c r="T27" s="1025"/>
      <c r="U27" s="1026"/>
      <c r="V27" s="1027"/>
      <c r="W27" s="564" t="s">
        <v>1021</v>
      </c>
      <c r="X27" s="623"/>
    </row>
    <row r="28" spans="1:24" ht="15" customHeight="1" x14ac:dyDescent="0.25">
      <c r="A28" s="177"/>
      <c r="C28" s="922" t="s">
        <v>403</v>
      </c>
      <c r="D28" s="944"/>
      <c r="E28" s="944"/>
      <c r="F28" s="944"/>
      <c r="G28" s="944"/>
      <c r="H28" s="140">
        <f>'Development Budget'!$E$82</f>
        <v>0</v>
      </c>
      <c r="I28" s="79"/>
      <c r="K28" s="1022"/>
      <c r="L28" s="1022"/>
      <c r="M28" s="1022"/>
      <c r="N28" s="1022"/>
      <c r="O28" s="1022"/>
      <c r="P28" s="1022"/>
      <c r="Q28" s="1023"/>
      <c r="R28" s="1023"/>
      <c r="S28" s="1024"/>
      <c r="T28" s="1025"/>
      <c r="U28" s="1026"/>
      <c r="V28" s="1027"/>
      <c r="W28" s="564" t="s">
        <v>1021</v>
      </c>
      <c r="X28" s="623"/>
    </row>
    <row r="29" spans="1:24" ht="15" customHeight="1" x14ac:dyDescent="0.25">
      <c r="A29" s="183"/>
      <c r="B29" s="184"/>
      <c r="C29" s="182"/>
      <c r="D29" s="185"/>
      <c r="E29" s="1062" t="s">
        <v>404</v>
      </c>
      <c r="F29" s="1062"/>
      <c r="G29" s="1062"/>
      <c r="H29" s="1062"/>
      <c r="I29" s="78">
        <f>SUM($H$24:$H$28)</f>
        <v>0</v>
      </c>
      <c r="K29" s="1030"/>
      <c r="L29" s="1031"/>
      <c r="M29" s="1031"/>
      <c r="N29" s="1031"/>
      <c r="O29" s="1031"/>
      <c r="P29" s="1032"/>
      <c r="Q29" s="1024"/>
      <c r="R29" s="1025"/>
      <c r="S29" s="1024"/>
      <c r="T29" s="1025"/>
      <c r="U29" s="1026"/>
      <c r="V29" s="1027"/>
      <c r="W29" s="564" t="s">
        <v>1021</v>
      </c>
      <c r="X29" s="623"/>
    </row>
    <row r="30" spans="1:24" ht="15" customHeight="1" x14ac:dyDescent="0.25">
      <c r="A30" s="177"/>
      <c r="I30" s="180"/>
      <c r="K30" s="1022"/>
      <c r="L30" s="1022"/>
      <c r="M30" s="1022"/>
      <c r="N30" s="1022"/>
      <c r="O30" s="1022"/>
      <c r="P30" s="1022"/>
      <c r="Q30" s="1023"/>
      <c r="R30" s="1023"/>
      <c r="S30" s="1024"/>
      <c r="T30" s="1025"/>
      <c r="U30" s="1028"/>
      <c r="V30" s="1026"/>
      <c r="W30" s="564" t="s">
        <v>1021</v>
      </c>
      <c r="X30" s="623"/>
    </row>
    <row r="31" spans="1:24" ht="15" customHeight="1" x14ac:dyDescent="0.25">
      <c r="A31" s="1064" t="s">
        <v>405</v>
      </c>
      <c r="B31" s="1059"/>
      <c r="C31" s="1059"/>
      <c r="D31" s="1059"/>
      <c r="E31" s="1059"/>
      <c r="F31" s="1059"/>
      <c r="G31" s="1059"/>
      <c r="H31" s="1059"/>
      <c r="I31" s="1059"/>
      <c r="K31" s="1022"/>
      <c r="L31" s="1022"/>
      <c r="M31" s="1022"/>
      <c r="N31" s="1022"/>
      <c r="O31" s="1022"/>
      <c r="P31" s="1022"/>
      <c r="Q31" s="1023"/>
      <c r="R31" s="1023"/>
      <c r="S31" s="1024"/>
      <c r="T31" s="1025"/>
      <c r="U31" s="1028"/>
      <c r="V31" s="1026"/>
      <c r="W31" s="564" t="s">
        <v>1021</v>
      </c>
      <c r="X31" s="623"/>
    </row>
    <row r="32" spans="1:24" ht="15" customHeight="1" x14ac:dyDescent="0.25">
      <c r="A32" s="1056" t="s">
        <v>406</v>
      </c>
      <c r="B32" s="1056"/>
      <c r="C32" s="1056"/>
      <c r="D32" s="1056"/>
      <c r="E32" s="1056"/>
      <c r="F32" s="1056"/>
      <c r="G32" s="1056"/>
      <c r="H32" s="1056"/>
      <c r="I32" s="79">
        <f>$I$21-$I$29</f>
        <v>0</v>
      </c>
      <c r="K32" s="1022"/>
      <c r="L32" s="1022"/>
      <c r="M32" s="1022"/>
      <c r="N32" s="1022"/>
      <c r="O32" s="1022"/>
      <c r="P32" s="1022"/>
      <c r="Q32" s="1023"/>
      <c r="R32" s="1023"/>
      <c r="S32" s="1024"/>
      <c r="T32" s="1025"/>
      <c r="U32" s="1028"/>
      <c r="V32" s="1026"/>
      <c r="W32" s="564" t="s">
        <v>1021</v>
      </c>
      <c r="X32" s="623"/>
    </row>
    <row r="33" spans="1:24" ht="15" customHeight="1" x14ac:dyDescent="0.25">
      <c r="A33" s="181"/>
      <c r="B33" s="186"/>
      <c r="C33" s="1063" t="s">
        <v>407</v>
      </c>
      <c r="D33" s="1063"/>
      <c r="E33" s="1063"/>
      <c r="F33" s="1063"/>
      <c r="G33" s="1063"/>
      <c r="H33" s="138">
        <f>'Project Summary'!$I$19</f>
        <v>0</v>
      </c>
      <c r="I33" s="187"/>
      <c r="K33" s="1022"/>
      <c r="L33" s="1022"/>
      <c r="M33" s="1022"/>
      <c r="N33" s="1022"/>
      <c r="O33" s="1022"/>
      <c r="P33" s="1022"/>
      <c r="Q33" s="1023"/>
      <c r="R33" s="1023"/>
      <c r="S33" s="1024"/>
      <c r="T33" s="1025"/>
      <c r="U33" s="1028"/>
      <c r="V33" s="1026"/>
      <c r="W33" s="564" t="s">
        <v>1021</v>
      </c>
      <c r="X33" s="623"/>
    </row>
    <row r="34" spans="1:24" ht="15" customHeight="1" x14ac:dyDescent="0.25">
      <c r="A34" s="177"/>
      <c r="B34" s="188"/>
      <c r="C34" s="902" t="s">
        <v>442</v>
      </c>
      <c r="D34" s="902"/>
      <c r="E34" s="902"/>
      <c r="F34" s="902"/>
      <c r="G34" s="902"/>
      <c r="H34" s="147">
        <v>10</v>
      </c>
      <c r="I34" s="180"/>
      <c r="K34" s="1022"/>
      <c r="L34" s="1022"/>
      <c r="M34" s="1022"/>
      <c r="N34" s="1022"/>
      <c r="O34" s="1022"/>
      <c r="P34" s="1022"/>
      <c r="Q34" s="1023"/>
      <c r="R34" s="1023"/>
      <c r="S34" s="1024"/>
      <c r="T34" s="1025"/>
      <c r="U34" s="1028"/>
      <c r="V34" s="1026"/>
      <c r="W34" s="564" t="s">
        <v>1021</v>
      </c>
      <c r="X34" s="623"/>
    </row>
    <row r="35" spans="1:24" ht="15" customHeight="1" x14ac:dyDescent="0.25">
      <c r="A35" s="183"/>
      <c r="B35" s="189"/>
      <c r="C35" s="902" t="s">
        <v>408</v>
      </c>
      <c r="D35" s="902"/>
      <c r="E35" s="902"/>
      <c r="F35" s="902"/>
      <c r="G35" s="902"/>
      <c r="H35" s="87">
        <f>$H$33*$H$34</f>
        <v>0</v>
      </c>
      <c r="I35" s="187"/>
      <c r="K35" s="1022"/>
      <c r="L35" s="1022"/>
      <c r="M35" s="1022"/>
      <c r="N35" s="1022"/>
      <c r="O35" s="1022"/>
      <c r="P35" s="1022"/>
      <c r="Q35" s="1023"/>
      <c r="R35" s="1023"/>
      <c r="S35" s="1024"/>
      <c r="T35" s="1025"/>
      <c r="U35" s="1028"/>
      <c r="V35" s="1026"/>
      <c r="W35" s="564" t="s">
        <v>1021</v>
      </c>
      <c r="X35" s="623"/>
    </row>
    <row r="36" spans="1:24" ht="15" customHeight="1" x14ac:dyDescent="0.25">
      <c r="A36" s="177"/>
      <c r="B36" s="188"/>
      <c r="C36" s="902" t="s">
        <v>443</v>
      </c>
      <c r="D36" s="902"/>
      <c r="E36" s="902"/>
      <c r="F36" s="902"/>
      <c r="G36" s="902"/>
      <c r="H36" s="190">
        <f>'Project Summary'!$C$25</f>
        <v>0</v>
      </c>
      <c r="I36" s="180"/>
      <c r="K36" s="1022"/>
      <c r="L36" s="1022"/>
      <c r="M36" s="1022"/>
      <c r="N36" s="1022"/>
      <c r="O36" s="1022"/>
      <c r="P36" s="1022"/>
      <c r="Q36" s="1023"/>
      <c r="R36" s="1023"/>
      <c r="S36" s="1024"/>
      <c r="T36" s="1025"/>
      <c r="U36" s="1028"/>
      <c r="V36" s="1026"/>
      <c r="W36" s="564" t="s">
        <v>1021</v>
      </c>
      <c r="X36" s="623"/>
    </row>
    <row r="37" spans="1:24" ht="15" customHeight="1" x14ac:dyDescent="0.25">
      <c r="A37" s="183"/>
      <c r="B37" s="189"/>
      <c r="C37" s="182"/>
      <c r="D37" s="902" t="s">
        <v>409</v>
      </c>
      <c r="E37" s="902"/>
      <c r="F37" s="902"/>
      <c r="G37" s="902"/>
      <c r="H37" s="902"/>
      <c r="I37" s="78">
        <f>$H$35*$H$36</f>
        <v>0</v>
      </c>
      <c r="K37" s="1022"/>
      <c r="L37" s="1022"/>
      <c r="M37" s="1022"/>
      <c r="N37" s="1022"/>
      <c r="O37" s="1022"/>
      <c r="P37" s="1022"/>
      <c r="Q37" s="1023"/>
      <c r="R37" s="1023"/>
      <c r="S37" s="1024"/>
      <c r="T37" s="1025"/>
      <c r="U37" s="1028"/>
      <c r="V37" s="1026"/>
      <c r="W37" s="564" t="s">
        <v>1021</v>
      </c>
      <c r="X37" s="623"/>
    </row>
    <row r="38" spans="1:24" ht="15" customHeight="1" x14ac:dyDescent="0.25">
      <c r="A38" s="181"/>
      <c r="B38" s="186"/>
      <c r="C38" s="182"/>
      <c r="D38" s="182"/>
      <c r="E38" s="1029" t="s">
        <v>410</v>
      </c>
      <c r="F38" s="1029"/>
      <c r="G38" s="1029"/>
      <c r="H38" s="1029"/>
      <c r="I38" s="83">
        <f>IFERROR($I$32/$I$37,0)</f>
        <v>0</v>
      </c>
      <c r="K38" s="1022"/>
      <c r="L38" s="1022"/>
      <c r="M38" s="1022"/>
      <c r="N38" s="1022"/>
      <c r="O38" s="1022"/>
      <c r="P38" s="1022"/>
      <c r="Q38" s="1023"/>
      <c r="R38" s="1023"/>
      <c r="S38" s="1024"/>
      <c r="T38" s="1025"/>
      <c r="U38" s="1028"/>
      <c r="V38" s="1026"/>
      <c r="W38" s="564" t="s">
        <v>1021</v>
      </c>
      <c r="X38" s="623"/>
    </row>
    <row r="39" spans="1:24" ht="15" customHeight="1" x14ac:dyDescent="0.25">
      <c r="K39" s="1022"/>
      <c r="L39" s="1022"/>
      <c r="M39" s="1022"/>
      <c r="N39" s="1022"/>
      <c r="O39" s="1022"/>
      <c r="P39" s="1022"/>
      <c r="Q39" s="1023"/>
      <c r="R39" s="1023"/>
      <c r="S39" s="1024"/>
      <c r="T39" s="1025"/>
      <c r="U39" s="1028"/>
      <c r="V39" s="1026"/>
      <c r="W39" s="564" t="s">
        <v>1021</v>
      </c>
      <c r="X39" s="623"/>
    </row>
    <row r="40" spans="1:24" ht="15.75" x14ac:dyDescent="0.25">
      <c r="A40" s="1053" t="s">
        <v>538</v>
      </c>
      <c r="B40" s="1053"/>
      <c r="C40" s="1053"/>
      <c r="D40" s="1053"/>
      <c r="E40" s="1053"/>
      <c r="F40" s="1053"/>
      <c r="G40" s="1053"/>
      <c r="H40" s="1053"/>
      <c r="I40" s="1053"/>
      <c r="K40" s="1022"/>
      <c r="L40" s="1022"/>
      <c r="M40" s="1022"/>
      <c r="N40" s="1022"/>
      <c r="O40" s="1022"/>
      <c r="P40" s="1022"/>
      <c r="Q40" s="1023"/>
      <c r="R40" s="1023"/>
      <c r="S40" s="1024"/>
      <c r="T40" s="1025"/>
      <c r="U40" s="1028"/>
      <c r="V40" s="1026"/>
      <c r="W40" s="564" t="s">
        <v>1021</v>
      </c>
      <c r="X40" s="623"/>
    </row>
    <row r="41" spans="1:24" x14ac:dyDescent="0.25">
      <c r="A41" s="1057" t="s">
        <v>411</v>
      </c>
      <c r="B41" s="1058"/>
      <c r="C41" s="1058"/>
      <c r="D41" s="1058"/>
      <c r="E41" s="1058"/>
      <c r="F41" s="1058"/>
      <c r="G41" s="1058"/>
      <c r="H41" s="1059"/>
      <c r="I41" s="1060"/>
      <c r="K41" s="1022"/>
      <c r="L41" s="1022"/>
      <c r="M41" s="1022"/>
      <c r="N41" s="1022"/>
      <c r="O41" s="1022"/>
      <c r="P41" s="1022"/>
      <c r="Q41" s="1023"/>
      <c r="R41" s="1023"/>
      <c r="S41" s="1024"/>
      <c r="T41" s="1025"/>
      <c r="U41" s="1028"/>
      <c r="V41" s="1026"/>
      <c r="W41" s="564" t="s">
        <v>1021</v>
      </c>
      <c r="X41" s="623"/>
    </row>
    <row r="42" spans="1:24" x14ac:dyDescent="0.25">
      <c r="A42" s="1006" t="s">
        <v>412</v>
      </c>
      <c r="B42" s="1056"/>
      <c r="C42" s="1056"/>
      <c r="D42" s="1056"/>
      <c r="E42" s="1056"/>
      <c r="F42" s="1056"/>
      <c r="G42" s="1056"/>
      <c r="H42" s="18">
        <f ca="1">'30-yr Cash Flow Projection'!$C$5</f>
        <v>0</v>
      </c>
      <c r="I42" s="180"/>
      <c r="K42" s="1022"/>
      <c r="L42" s="1022"/>
      <c r="M42" s="1022"/>
      <c r="N42" s="1022"/>
      <c r="O42" s="1022"/>
      <c r="P42" s="1022"/>
      <c r="Q42" s="1023"/>
      <c r="R42" s="1023"/>
      <c r="S42" s="1024"/>
      <c r="T42" s="1025"/>
      <c r="U42" s="1028"/>
      <c r="V42" s="1026"/>
      <c r="W42" s="564" t="s">
        <v>1021</v>
      </c>
      <c r="X42" s="623"/>
    </row>
    <row r="43" spans="1:24" x14ac:dyDescent="0.25">
      <c r="A43" s="1006" t="s">
        <v>1065</v>
      </c>
      <c r="B43" s="1056"/>
      <c r="C43" s="1056"/>
      <c r="D43" s="1056"/>
      <c r="E43" s="1056"/>
      <c r="F43" s="1056"/>
      <c r="G43" s="1056"/>
      <c r="H43" s="139">
        <f ca="1">'30-yr Cash Flow Projection'!$C$14</f>
        <v>0</v>
      </c>
      <c r="I43" s="187"/>
      <c r="K43" s="1022"/>
      <c r="L43" s="1022"/>
      <c r="M43" s="1022"/>
      <c r="N43" s="1022"/>
      <c r="O43" s="1022"/>
      <c r="P43" s="1022"/>
      <c r="Q43" s="1023"/>
      <c r="R43" s="1023"/>
      <c r="S43" s="1024"/>
      <c r="T43" s="1025"/>
      <c r="U43" s="1028"/>
      <c r="V43" s="1026"/>
      <c r="W43" s="564" t="s">
        <v>1021</v>
      </c>
      <c r="X43" s="623"/>
    </row>
    <row r="44" spans="1:24" x14ac:dyDescent="0.25">
      <c r="A44" s="181"/>
      <c r="B44" s="184"/>
      <c r="C44" s="182"/>
      <c r="D44" s="182"/>
      <c r="E44" s="1029" t="s">
        <v>1064</v>
      </c>
      <c r="F44" s="1029"/>
      <c r="G44" s="1029"/>
      <c r="H44" s="1029"/>
      <c r="I44" s="192">
        <f ca="1">IFERROR($H$42/$H$43,0)</f>
        <v>0</v>
      </c>
    </row>
    <row r="45" spans="1:24" x14ac:dyDescent="0.25">
      <c r="A45" s="177"/>
      <c r="B45" s="191"/>
      <c r="C45" s="1063" t="s">
        <v>1067</v>
      </c>
      <c r="D45" s="1063"/>
      <c r="E45" s="1063"/>
      <c r="F45" s="1063"/>
      <c r="G45" s="1063"/>
      <c r="H45" s="902"/>
      <c r="I45" s="79">
        <f ca="1">$H$42-$H$43</f>
        <v>0</v>
      </c>
    </row>
    <row r="46" spans="1:24" x14ac:dyDescent="0.25">
      <c r="A46" s="183"/>
      <c r="B46" s="184"/>
      <c r="C46" s="902" t="s">
        <v>1066</v>
      </c>
      <c r="D46" s="902"/>
      <c r="E46" s="902"/>
      <c r="F46" s="902"/>
      <c r="G46" s="902"/>
      <c r="H46" s="902"/>
      <c r="I46" s="78">
        <f>'30-yr Cash Flow Projection'!$C$33</f>
        <v>0</v>
      </c>
    </row>
    <row r="47" spans="1:24" ht="15" customHeight="1" x14ac:dyDescent="0.25">
      <c r="A47" s="181"/>
      <c r="B47" s="184"/>
      <c r="C47" s="182"/>
      <c r="D47" s="182"/>
      <c r="E47" s="1029" t="s">
        <v>413</v>
      </c>
      <c r="F47" s="1029"/>
      <c r="G47" s="1029"/>
      <c r="H47" s="1029"/>
      <c r="I47" s="192">
        <f ca="1">IFERROR($I$45/$I$46,0)</f>
        <v>0</v>
      </c>
    </row>
    <row r="48" spans="1:24" ht="9.9499999999999993" customHeight="1" x14ac:dyDescent="0.25">
      <c r="B48" s="143"/>
      <c r="H48" s="193"/>
    </row>
    <row r="49" spans="1:9" ht="15.75" x14ac:dyDescent="0.25">
      <c r="A49" s="1053" t="s">
        <v>440</v>
      </c>
      <c r="B49" s="1053"/>
      <c r="C49" s="1053"/>
      <c r="D49" s="1053"/>
      <c r="E49" s="1053"/>
      <c r="F49" s="1053"/>
      <c r="G49" s="1053"/>
      <c r="H49" s="1053"/>
      <c r="I49" s="1053"/>
    </row>
    <row r="50" spans="1:9" x14ac:dyDescent="0.25">
      <c r="A50" s="901" t="s">
        <v>414</v>
      </c>
      <c r="B50" s="902"/>
      <c r="C50" s="902"/>
      <c r="D50" s="902"/>
      <c r="E50" s="902"/>
      <c r="F50" s="902"/>
      <c r="G50" s="902"/>
      <c r="H50" s="902"/>
      <c r="I50" s="78">
        <f ca="1">$I$45-$I$46</f>
        <v>0</v>
      </c>
    </row>
    <row r="51" spans="1:9" ht="15" customHeight="1" x14ac:dyDescent="0.25">
      <c r="A51" s="181"/>
      <c r="B51" s="182"/>
      <c r="C51" s="182"/>
      <c r="D51" s="182"/>
      <c r="E51" s="1029" t="s">
        <v>415</v>
      </c>
      <c r="F51" s="1029"/>
      <c r="G51" s="1029"/>
      <c r="H51" s="1029"/>
      <c r="I51" s="85">
        <f ca="1">IFERROR($I$50/$H$43,0)</f>
        <v>0</v>
      </c>
    </row>
    <row r="52" spans="1:9" ht="9.9499999999999993" customHeight="1" x14ac:dyDescent="0.25"/>
    <row r="53" spans="1:9" x14ac:dyDescent="0.25">
      <c r="A53" s="1077" t="s">
        <v>416</v>
      </c>
      <c r="B53" s="1077"/>
      <c r="C53" s="1077"/>
      <c r="D53" s="1077"/>
      <c r="E53" s="1077"/>
      <c r="F53" s="1077"/>
      <c r="G53" s="1077"/>
      <c r="H53" s="1077"/>
      <c r="I53" s="1077"/>
    </row>
    <row r="54" spans="1:9" x14ac:dyDescent="0.25">
      <c r="A54" s="1083" t="s">
        <v>444</v>
      </c>
      <c r="B54" s="1083"/>
      <c r="C54" s="1083"/>
      <c r="D54" s="1083"/>
      <c r="E54" s="1083"/>
      <c r="F54" s="1083"/>
      <c r="G54" s="1083"/>
      <c r="H54" s="1083"/>
      <c r="I54" s="1083"/>
    </row>
    <row r="55" spans="1:9" x14ac:dyDescent="0.25">
      <c r="A55" s="1083"/>
      <c r="B55" s="1083"/>
      <c r="C55" s="1083"/>
      <c r="D55" s="1083"/>
      <c r="E55" s="1083"/>
      <c r="F55" s="1083"/>
      <c r="G55" s="1083"/>
      <c r="H55" s="1083"/>
      <c r="I55" s="1083"/>
    </row>
    <row r="56" spans="1:9" ht="9.9499999999999993" customHeight="1" x14ac:dyDescent="0.25"/>
    <row r="57" spans="1:9" x14ac:dyDescent="0.25">
      <c r="A57" s="1039" t="s">
        <v>445</v>
      </c>
      <c r="B57" s="1039"/>
      <c r="C57" s="1039"/>
      <c r="D57" s="1039"/>
      <c r="E57" s="1039"/>
      <c r="F57" s="1039"/>
      <c r="G57" s="1039"/>
      <c r="H57" s="1039"/>
      <c r="I57" s="1039"/>
    </row>
    <row r="58" spans="1:9" x14ac:dyDescent="0.25">
      <c r="A58" s="1039"/>
      <c r="B58" s="1039"/>
      <c r="C58" s="1039"/>
      <c r="D58" s="1039"/>
      <c r="E58" s="1039"/>
      <c r="F58" s="1039"/>
      <c r="G58" s="1039"/>
      <c r="H58" s="1039"/>
      <c r="I58" s="1039"/>
    </row>
    <row r="59" spans="1:9" x14ac:dyDescent="0.25">
      <c r="A59" s="1039"/>
      <c r="B59" s="1039"/>
      <c r="C59" s="1039"/>
      <c r="D59" s="1039"/>
      <c r="E59" s="1039"/>
      <c r="F59" s="1039"/>
      <c r="G59" s="1039"/>
      <c r="H59" s="1039"/>
      <c r="I59" s="1039"/>
    </row>
    <row r="60" spans="1:9" x14ac:dyDescent="0.25">
      <c r="A60" s="1039"/>
      <c r="B60" s="1039"/>
      <c r="C60" s="1039"/>
      <c r="D60" s="1039"/>
      <c r="E60" s="1039"/>
      <c r="F60" s="1039"/>
      <c r="G60" s="1039"/>
      <c r="H60" s="1039"/>
      <c r="I60" s="1039"/>
    </row>
    <row r="61" spans="1:9" ht="15" customHeight="1" x14ac:dyDescent="0.25">
      <c r="A61" s="683" t="s">
        <v>449</v>
      </c>
      <c r="B61" s="683"/>
      <c r="C61" s="683"/>
      <c r="D61" s="683"/>
      <c r="E61" s="683"/>
      <c r="F61" s="683"/>
      <c r="G61" s="683"/>
      <c r="H61" s="683"/>
      <c r="I61" s="683"/>
    </row>
    <row r="62" spans="1:9" ht="9.9499999999999993" customHeight="1" x14ac:dyDescent="0.25"/>
    <row r="63" spans="1:9" ht="15.75" x14ac:dyDescent="0.25">
      <c r="A63" s="1043" t="s">
        <v>450</v>
      </c>
      <c r="B63" s="1043"/>
      <c r="C63" s="1043"/>
      <c r="D63" s="1043"/>
      <c r="E63" s="1043"/>
      <c r="F63" s="1043"/>
      <c r="G63" s="1043"/>
      <c r="H63" s="1043"/>
      <c r="I63" s="1043"/>
    </row>
    <row r="64" spans="1:9" x14ac:dyDescent="0.25">
      <c r="B64" s="897"/>
      <c r="C64" s="899"/>
      <c r="D64" s="194" t="s">
        <v>417</v>
      </c>
      <c r="E64" s="194" t="s">
        <v>418</v>
      </c>
      <c r="F64" s="194" t="s">
        <v>419</v>
      </c>
    </row>
    <row r="65" spans="1:9" x14ac:dyDescent="0.25">
      <c r="B65" s="897" t="s">
        <v>57</v>
      </c>
      <c r="C65" s="899"/>
      <c r="D65" s="194" t="str">
        <f>IF(OR($F$3="No",$F$3=""),"",SUMIFS('Operating Budget'!$E$7:$E$47,'Operating Budget'!$F$7:$F$47,"Yes",'Operating Budget'!$B$7:$B$47,'Operating Budget'!$K$30))</f>
        <v/>
      </c>
      <c r="E65" s="539" t="str">
        <f>IF(OR($F$3="No",$F$3=""),"",'UA''s &amp; PBV Standards'!$D$22)</f>
        <v/>
      </c>
      <c r="F65" s="539" t="str">
        <f>IF(OR($F$3="No",$F$3=""),"",'UA''s &amp; PBV Standards'!$D$17+'UA''s &amp; PBV Standards'!$D$22)</f>
        <v/>
      </c>
    </row>
    <row r="66" spans="1:9" x14ac:dyDescent="0.25">
      <c r="B66" s="897" t="s">
        <v>420</v>
      </c>
      <c r="C66" s="899"/>
      <c r="D66" s="194" t="str">
        <f>IF(OR($F$3="No",$F$3=""),"",SUMIFS('Operating Budget'!$E$7:$E$47,'Operating Budget'!$F$7:$F$47,"Yes",'Operating Budget'!$B$7:$B$47,'Operating Budget'!$L$30))</f>
        <v/>
      </c>
      <c r="E66" s="539" t="str">
        <f>IF(OR($F$3="No",$F$3=""),"",'UA''s &amp; PBV Standards'!$E$22)</f>
        <v/>
      </c>
      <c r="F66" s="539" t="str">
        <f>IF(OR($F$3="No",$F$3=""),"",'UA''s &amp; PBV Standards'!$E$17+'UA''s &amp; PBV Standards'!$E$22)</f>
        <v/>
      </c>
    </row>
    <row r="67" spans="1:9" x14ac:dyDescent="0.25">
      <c r="B67" s="897" t="s">
        <v>421</v>
      </c>
      <c r="C67" s="899"/>
      <c r="D67" s="194" t="str">
        <f>IF(OR($F$3="No",$F$3=""),"",SUMIFS('Operating Budget'!$E$7:$E$47,'Operating Budget'!$F$7:$F$47,"Yes",'Operating Budget'!$B$7:$B$47,'Operating Budget'!$M$30))</f>
        <v/>
      </c>
      <c r="E67" s="539" t="str">
        <f>IF(OR($F$3="No",$F$3=""),"",'UA''s &amp; PBV Standards'!$F$22)</f>
        <v/>
      </c>
      <c r="F67" s="539" t="str">
        <f>IF(OR($F$3="No",$F$3=""),"",'UA''s &amp; PBV Standards'!$F$17+'UA''s &amp; PBV Standards'!$F$22)</f>
        <v/>
      </c>
    </row>
    <row r="68" spans="1:9" x14ac:dyDescent="0.25">
      <c r="B68" s="897" t="s">
        <v>422</v>
      </c>
      <c r="C68" s="899"/>
      <c r="D68" s="194" t="str">
        <f>IF(OR($F$3="No",$F$3=""),"",SUMIFS('Operating Budget'!$E$7:$E$47,'Operating Budget'!$F$7:$F$47,"Yes",'Operating Budget'!$B$7:$B$47,'Operating Budget'!$N$30))</f>
        <v/>
      </c>
      <c r="E68" s="539" t="str">
        <f>IF(OR($F$3="No",$F$3=""),"",'UA''s &amp; PBV Standards'!$G$22)</f>
        <v/>
      </c>
      <c r="F68" s="539" t="str">
        <f>IF(OR($F$3="No",$F$3=""),"",'UA''s &amp; PBV Standards'!$G$17+'UA''s &amp; PBV Standards'!$G$22)</f>
        <v/>
      </c>
    </row>
    <row r="69" spans="1:9" x14ac:dyDescent="0.25">
      <c r="B69" s="897" t="s">
        <v>423</v>
      </c>
      <c r="C69" s="899"/>
      <c r="D69" s="194" t="str">
        <f>IF(OR($F$3="No",$F$3=""),"",SUMIFS('Operating Budget'!$E$7:$E$47,'Operating Budget'!$F$7:$F$47,"Yes",'Operating Budget'!$B$7:$B$47,'Operating Budget'!$O$30))</f>
        <v/>
      </c>
      <c r="E69" s="539" t="str">
        <f>IF(OR($F$3="No",$F$3=""),"",'UA''s &amp; PBV Standards'!$H$22)</f>
        <v/>
      </c>
      <c r="F69" s="539" t="str">
        <f>IF(OR($F$3="No",$F$3=""),"",'UA''s &amp; PBV Standards'!$H$17+'UA''s &amp; PBV Standards'!$H$22)</f>
        <v/>
      </c>
    </row>
    <row r="70" spans="1:9" ht="9.9499999999999993" customHeight="1" x14ac:dyDescent="0.25"/>
    <row r="71" spans="1:9" ht="15.75" x14ac:dyDescent="0.25">
      <c r="A71" s="1043" t="s">
        <v>10</v>
      </c>
      <c r="B71" s="1043"/>
      <c r="C71" s="1043"/>
      <c r="D71" s="1043"/>
      <c r="E71" s="1043"/>
      <c r="F71" s="1043"/>
      <c r="G71" s="1043"/>
      <c r="H71" s="1043"/>
      <c r="I71" s="1043"/>
    </row>
    <row r="72" spans="1:9" x14ac:dyDescent="0.25">
      <c r="A72" s="878" t="s">
        <v>13</v>
      </c>
      <c r="B72" s="878"/>
      <c r="C72" s="878"/>
      <c r="D72" s="878"/>
      <c r="E72" s="1044" t="str">
        <f>IF('Project Summary'!$C$8&lt;1," ",'Project Summary'!$C$8)</f>
        <v xml:space="preserve"> </v>
      </c>
      <c r="F72" s="1021"/>
      <c r="G72" s="1021"/>
      <c r="H72" s="1021"/>
      <c r="I72" s="1021"/>
    </row>
    <row r="73" spans="1:9" x14ac:dyDescent="0.25">
      <c r="A73" s="878" t="s">
        <v>424</v>
      </c>
      <c r="B73" s="878"/>
      <c r="C73" s="878"/>
      <c r="D73" s="878"/>
      <c r="E73" s="1044" t="str">
        <f>IF(OR('Project Summary'!$C$11="",'Project Summary'!$C$12), "",'Project Summary'!$C$12 &amp; ", " &amp; 'Project Summary'!$I$12)</f>
        <v/>
      </c>
      <c r="F73" s="1021"/>
      <c r="G73" s="1021"/>
      <c r="H73" s="1021"/>
      <c r="I73" s="1021"/>
    </row>
    <row r="74" spans="1:9" x14ac:dyDescent="0.25">
      <c r="A74" s="878" t="s">
        <v>425</v>
      </c>
      <c r="B74" s="878"/>
      <c r="C74" s="878"/>
      <c r="D74" s="878"/>
      <c r="E74" s="1044" t="s">
        <v>426</v>
      </c>
      <c r="F74" s="1021"/>
      <c r="G74" s="1021"/>
      <c r="H74" s="1021"/>
      <c r="I74" s="1021"/>
    </row>
    <row r="75" spans="1:9" x14ac:dyDescent="0.25">
      <c r="A75" s="878" t="s">
        <v>427</v>
      </c>
      <c r="B75" s="878"/>
      <c r="C75" s="878"/>
      <c r="D75" s="878"/>
      <c r="E75" s="1044" t="s">
        <v>428</v>
      </c>
      <c r="F75" s="1021"/>
      <c r="G75" s="1021"/>
      <c r="H75" s="1021"/>
      <c r="I75" s="1021"/>
    </row>
    <row r="76" spans="1:9" x14ac:dyDescent="0.25">
      <c r="A76" s="878" t="s">
        <v>429</v>
      </c>
      <c r="B76" s="878"/>
      <c r="C76" s="878"/>
      <c r="D76" s="878"/>
      <c r="E76" s="1041" t="s">
        <v>448</v>
      </c>
      <c r="F76" s="1042"/>
      <c r="G76" s="330">
        <v>3036725433</v>
      </c>
      <c r="H76" s="1045"/>
      <c r="I76" s="1046"/>
    </row>
    <row r="77" spans="1:9" x14ac:dyDescent="0.25">
      <c r="A77" s="1040" t="s">
        <v>447</v>
      </c>
      <c r="B77" s="878"/>
      <c r="C77" s="878"/>
      <c r="D77" s="878"/>
      <c r="E77" s="1072"/>
      <c r="F77" s="1072"/>
      <c r="G77" s="1072"/>
      <c r="H77" s="1072"/>
      <c r="I77" s="1072"/>
    </row>
    <row r="78" spans="1:9" x14ac:dyDescent="0.25">
      <c r="A78" s="1040" t="s">
        <v>446</v>
      </c>
      <c r="B78" s="878"/>
      <c r="C78" s="878"/>
      <c r="D78" s="878"/>
      <c r="E78" s="1021" t="str">
        <f>_xlfn.IFNA(VLOOKUP($E$77,'Project Summary'!$T$132:$Y$163,2,FALSE),"")</f>
        <v/>
      </c>
      <c r="F78" s="1021"/>
      <c r="G78" s="1021"/>
      <c r="H78" s="1021"/>
      <c r="I78" s="1021"/>
    </row>
    <row r="79" spans="1:9" x14ac:dyDescent="0.25">
      <c r="A79" s="878" t="s">
        <v>1030</v>
      </c>
      <c r="B79" s="878"/>
      <c r="C79" s="878"/>
      <c r="D79" s="878"/>
      <c r="E79" s="1047"/>
      <c r="F79" s="1047"/>
      <c r="G79" s="1047"/>
      <c r="H79" s="1047"/>
      <c r="I79" s="1047"/>
    </row>
    <row r="80" spans="1:9" x14ac:dyDescent="0.25">
      <c r="A80" s="878" t="s">
        <v>1029</v>
      </c>
      <c r="B80" s="878"/>
      <c r="C80" s="878"/>
      <c r="D80" s="878"/>
      <c r="E80" s="1047"/>
      <c r="F80" s="1047"/>
      <c r="G80" s="1047"/>
      <c r="H80" s="1047"/>
      <c r="I80" s="1047"/>
    </row>
    <row r="81" spans="1:9" x14ac:dyDescent="0.25">
      <c r="A81" s="878" t="s">
        <v>430</v>
      </c>
      <c r="B81" s="878"/>
      <c r="C81" s="878"/>
      <c r="D81" s="878"/>
      <c r="E81" s="1072"/>
      <c r="F81" s="1072"/>
      <c r="G81" s="1072"/>
      <c r="H81" s="1072"/>
      <c r="I81" s="1072"/>
    </row>
    <row r="82" spans="1:9" x14ac:dyDescent="0.25">
      <c r="A82" s="878" t="s">
        <v>431</v>
      </c>
      <c r="B82" s="878"/>
      <c r="C82" s="878"/>
      <c r="D82" s="878"/>
      <c r="E82" s="1072"/>
      <c r="F82" s="1072"/>
      <c r="G82" s="1072"/>
      <c r="H82" s="1072"/>
      <c r="I82" s="1072"/>
    </row>
    <row r="83" spans="1:9" x14ac:dyDescent="0.25">
      <c r="A83" s="878" t="s">
        <v>432</v>
      </c>
      <c r="B83" s="878"/>
      <c r="C83" s="878"/>
      <c r="D83" s="878"/>
      <c r="E83" s="1021" t="str">
        <f>IF(AND(OR('Project Summary'!$C$19="No",'Project Summary'!$C$19=""),OR($F$3="No",$F$3="")),"",'Project Summary'!$C$20)</f>
        <v/>
      </c>
      <c r="F83" s="1021"/>
      <c r="G83" s="1021"/>
      <c r="H83" s="1021"/>
      <c r="I83" s="1021"/>
    </row>
    <row r="84" spans="1:9" x14ac:dyDescent="0.25">
      <c r="A84" s="878" t="s">
        <v>433</v>
      </c>
      <c r="B84" s="878"/>
      <c r="C84" s="878"/>
      <c r="D84" s="878"/>
      <c r="E84" s="1070">
        <f>$E$10</f>
        <v>0</v>
      </c>
      <c r="F84" s="1021"/>
      <c r="G84" s="1021"/>
      <c r="H84" s="1021"/>
      <c r="I84" s="1021"/>
    </row>
    <row r="85" spans="1:9" x14ac:dyDescent="0.25">
      <c r="A85" s="878" t="s">
        <v>1072</v>
      </c>
      <c r="B85" s="878"/>
      <c r="C85" s="878"/>
      <c r="D85" s="878"/>
      <c r="E85" s="1021" t="str">
        <f>IF('UA''s &amp; PBV Standards'!$D$20="","",'UA''s &amp; PBV Standards'!$D$20)</f>
        <v/>
      </c>
      <c r="F85" s="1021"/>
      <c r="G85" s="1021"/>
      <c r="H85" s="1021"/>
      <c r="I85" s="1021"/>
    </row>
    <row r="86" spans="1:9" x14ac:dyDescent="0.25">
      <c r="A86" s="878" t="s">
        <v>434</v>
      </c>
      <c r="B86" s="878"/>
      <c r="C86" s="878"/>
      <c r="D86" s="878"/>
      <c r="E86" s="1071">
        <f>'Funding Sources'!$F$20</f>
        <v>0</v>
      </c>
      <c r="F86" s="1071"/>
      <c r="G86" s="1071"/>
      <c r="H86" s="1071"/>
      <c r="I86" s="1071"/>
    </row>
    <row r="87" spans="1:9" x14ac:dyDescent="0.25">
      <c r="A87" s="878" t="str">
        <f>IF('30-yr Cash Flow Projection'!$A$34='Project Summary'!$Q$190,"20-year High ECR:","20-year High DCR:")</f>
        <v>20-year High DCR:</v>
      </c>
      <c r="B87" s="878"/>
      <c r="C87" s="878"/>
      <c r="D87" s="878"/>
      <c r="E87" s="1036">
        <f ca="1">MAX('30-yr Cash Flow Projection'!$C$34:$L$34,'30-yr Cash Flow Projection'!$C$69:$L$69)</f>
        <v>0</v>
      </c>
      <c r="F87" s="1037"/>
      <c r="G87" s="1037"/>
      <c r="H87" s="1037"/>
      <c r="I87" s="1038"/>
    </row>
    <row r="88" spans="1:9" x14ac:dyDescent="0.25">
      <c r="A88" s="878" t="str">
        <f>IF('30-yr Cash Flow Projection'!$A$34='Project Summary'!$Q$190,"20-year Low ECR:","20-year Low DCR:")</f>
        <v>20-year Low DCR:</v>
      </c>
      <c r="B88" s="878"/>
      <c r="C88" s="878"/>
      <c r="D88" s="878"/>
      <c r="E88" s="1036">
        <f ca="1">MIN('30-yr Cash Flow Projection'!$C$34:$L$34,'30-yr Cash Flow Projection'!$C$69:$L$69)</f>
        <v>0</v>
      </c>
      <c r="F88" s="1037"/>
      <c r="G88" s="1037"/>
      <c r="H88" s="1037"/>
      <c r="I88" s="1038"/>
    </row>
    <row r="89" spans="1:9" x14ac:dyDescent="0.25">
      <c r="A89" s="878" t="s">
        <v>435</v>
      </c>
      <c r="B89" s="878"/>
      <c r="C89" s="878"/>
      <c r="D89" s="878"/>
      <c r="E89" s="1069">
        <f>'Tax Credit Calc'!$C$6</f>
        <v>0</v>
      </c>
      <c r="F89" s="1069"/>
      <c r="G89" s="1069"/>
      <c r="H89" s="1069"/>
      <c r="I89" s="1069"/>
    </row>
    <row r="90" spans="1:9" x14ac:dyDescent="0.25">
      <c r="A90" s="878" t="s">
        <v>1073</v>
      </c>
      <c r="B90" s="878"/>
      <c r="C90" s="878"/>
      <c r="D90" s="878"/>
      <c r="E90" s="1021" t="str">
        <f ca="1">IF($G$19=0,"",IF(AND($G$19&gt;=0,$G$19&lt;=$I$19),"Yes","No"))</f>
        <v/>
      </c>
      <c r="F90" s="1021"/>
      <c r="G90" s="1021"/>
      <c r="H90" s="1021"/>
      <c r="I90" s="1021"/>
    </row>
    <row r="91" spans="1:9" x14ac:dyDescent="0.25">
      <c r="A91" s="878" t="s">
        <v>435</v>
      </c>
      <c r="B91" s="878"/>
      <c r="C91" s="878"/>
      <c r="D91" s="878"/>
      <c r="E91" s="1073">
        <f>'Tax Credit Calc'!$C$6</f>
        <v>0</v>
      </c>
      <c r="F91" s="1074"/>
      <c r="G91" s="1074"/>
      <c r="H91" s="1074"/>
      <c r="I91" s="1075"/>
    </row>
  </sheetData>
  <sheetProtection algorithmName="SHA-512" hashValue="sx/dH0gv3N4AkXSMXc2n9RyFmpm/OUXboohoe23gQtbpBGs9XnS7T9mZcHh+pmbY/WFEQNJXKLzEXgiLOTLmaw==" saltValue="u8B2s3I4jJg6AsbcNHWTeQ==" spinCount="100000" sheet="1" objects="1" scenarios="1"/>
  <mergeCells count="245">
    <mergeCell ref="E90:I90"/>
    <mergeCell ref="E91:I91"/>
    <mergeCell ref="A91:D91"/>
    <mergeCell ref="A90:D90"/>
    <mergeCell ref="K1:L1"/>
    <mergeCell ref="E72:I72"/>
    <mergeCell ref="A73:D73"/>
    <mergeCell ref="E73:I73"/>
    <mergeCell ref="A53:I53"/>
    <mergeCell ref="A19:F19"/>
    <mergeCell ref="A18:F18"/>
    <mergeCell ref="A6:B6"/>
    <mergeCell ref="C6:E6"/>
    <mergeCell ref="A7:B7"/>
    <mergeCell ref="C7:I7"/>
    <mergeCell ref="B10:D10"/>
    <mergeCell ref="A50:H50"/>
    <mergeCell ref="A49:I49"/>
    <mergeCell ref="E38:H38"/>
    <mergeCell ref="E47:H47"/>
    <mergeCell ref="A40:I40"/>
    <mergeCell ref="C46:H46"/>
    <mergeCell ref="C45:H45"/>
    <mergeCell ref="A54:I55"/>
    <mergeCell ref="A1:I1"/>
    <mergeCell ref="A16:F16"/>
    <mergeCell ref="A15:F15"/>
    <mergeCell ref="A14:F14"/>
    <mergeCell ref="A89:D89"/>
    <mergeCell ref="E89:I89"/>
    <mergeCell ref="A3:E3"/>
    <mergeCell ref="A4:E4"/>
    <mergeCell ref="A8:B8"/>
    <mergeCell ref="A84:D84"/>
    <mergeCell ref="E84:I84"/>
    <mergeCell ref="A86:D86"/>
    <mergeCell ref="E86:I86"/>
    <mergeCell ref="A81:D81"/>
    <mergeCell ref="E81:I81"/>
    <mergeCell ref="E51:H51"/>
    <mergeCell ref="A82:D82"/>
    <mergeCell ref="E82:I82"/>
    <mergeCell ref="A83:D83"/>
    <mergeCell ref="E83:I83"/>
    <mergeCell ref="A77:D77"/>
    <mergeCell ref="E77:I77"/>
    <mergeCell ref="A79:D79"/>
    <mergeCell ref="E79:I79"/>
    <mergeCell ref="A80:D80"/>
    <mergeCell ref="E80:I80"/>
    <mergeCell ref="A13:F13"/>
    <mergeCell ref="C8:D8"/>
    <mergeCell ref="A12:F12"/>
    <mergeCell ref="G12:G13"/>
    <mergeCell ref="H12:H13"/>
    <mergeCell ref="I12:I13"/>
    <mergeCell ref="F4:I4"/>
    <mergeCell ref="A17:F17"/>
    <mergeCell ref="A20:I20"/>
    <mergeCell ref="A24:G24"/>
    <mergeCell ref="A32:H32"/>
    <mergeCell ref="A42:G42"/>
    <mergeCell ref="A43:G43"/>
    <mergeCell ref="A41:I41"/>
    <mergeCell ref="A21:H21"/>
    <mergeCell ref="E29:H29"/>
    <mergeCell ref="D37:H37"/>
    <mergeCell ref="C36:G36"/>
    <mergeCell ref="C35:G35"/>
    <mergeCell ref="C34:G34"/>
    <mergeCell ref="C33:G33"/>
    <mergeCell ref="A31:I31"/>
    <mergeCell ref="A88:D88"/>
    <mergeCell ref="E88:I88"/>
    <mergeCell ref="A57:I60"/>
    <mergeCell ref="B64:C64"/>
    <mergeCell ref="A78:D78"/>
    <mergeCell ref="E78:I78"/>
    <mergeCell ref="E76:F76"/>
    <mergeCell ref="A71:I71"/>
    <mergeCell ref="B69:C69"/>
    <mergeCell ref="B68:C68"/>
    <mergeCell ref="B67:C67"/>
    <mergeCell ref="B66:C66"/>
    <mergeCell ref="B65:C65"/>
    <mergeCell ref="A61:I61"/>
    <mergeCell ref="A63:I63"/>
    <mergeCell ref="A87:D87"/>
    <mergeCell ref="E87:I87"/>
    <mergeCell ref="A74:D74"/>
    <mergeCell ref="E74:I74"/>
    <mergeCell ref="A75:D75"/>
    <mergeCell ref="E75:I75"/>
    <mergeCell ref="A76:D76"/>
    <mergeCell ref="H76:I76"/>
    <mergeCell ref="A72:D72"/>
    <mergeCell ref="C28:G28"/>
    <mergeCell ref="C27:G27"/>
    <mergeCell ref="A26:I26"/>
    <mergeCell ref="A23:I23"/>
    <mergeCell ref="Q8:R8"/>
    <mergeCell ref="S8:T8"/>
    <mergeCell ref="U8:X8"/>
    <mergeCell ref="K15:P15"/>
    <mergeCell ref="Q15:R15"/>
    <mergeCell ref="S15:T15"/>
    <mergeCell ref="U15:X15"/>
    <mergeCell ref="S18:T18"/>
    <mergeCell ref="U18:X18"/>
    <mergeCell ref="S9:T9"/>
    <mergeCell ref="U9:X9"/>
    <mergeCell ref="K10:P10"/>
    <mergeCell ref="Q10:R10"/>
    <mergeCell ref="S10:T10"/>
    <mergeCell ref="U10:X10"/>
    <mergeCell ref="U28:V28"/>
    <mergeCell ref="Q28:R28"/>
    <mergeCell ref="K28:P28"/>
    <mergeCell ref="S28:T28"/>
    <mergeCell ref="U24:V24"/>
    <mergeCell ref="K11:P11"/>
    <mergeCell ref="Q11:R11"/>
    <mergeCell ref="S11:T11"/>
    <mergeCell ref="U11:X11"/>
    <mergeCell ref="K12:P12"/>
    <mergeCell ref="Q12:R12"/>
    <mergeCell ref="S12:T12"/>
    <mergeCell ref="U12:X12"/>
    <mergeCell ref="K9:P9"/>
    <mergeCell ref="Q9:R9"/>
    <mergeCell ref="K6:P6"/>
    <mergeCell ref="Q6:R6"/>
    <mergeCell ref="S6:T6"/>
    <mergeCell ref="U6:X6"/>
    <mergeCell ref="Q7:R7"/>
    <mergeCell ref="K7:P7"/>
    <mergeCell ref="K8:P8"/>
    <mergeCell ref="L3:X3"/>
    <mergeCell ref="S4:T5"/>
    <mergeCell ref="Q4:R5"/>
    <mergeCell ref="K4:P5"/>
    <mergeCell ref="U7:X7"/>
    <mergeCell ref="S7:T7"/>
    <mergeCell ref="U4:X5"/>
    <mergeCell ref="K23:P23"/>
    <mergeCell ref="Q23:R23"/>
    <mergeCell ref="S23:T23"/>
    <mergeCell ref="U23:V23"/>
    <mergeCell ref="K26:P26"/>
    <mergeCell ref="Q26:R26"/>
    <mergeCell ref="S26:T26"/>
    <mergeCell ref="U26:V26"/>
    <mergeCell ref="K24:P24"/>
    <mergeCell ref="Q24:R24"/>
    <mergeCell ref="S24:T24"/>
    <mergeCell ref="U13:X13"/>
    <mergeCell ref="K14:P14"/>
    <mergeCell ref="Q14:R14"/>
    <mergeCell ref="S14:T14"/>
    <mergeCell ref="U14:X14"/>
    <mergeCell ref="L20:X20"/>
    <mergeCell ref="K21:P22"/>
    <mergeCell ref="Q21:R22"/>
    <mergeCell ref="S21:T22"/>
    <mergeCell ref="U21:X22"/>
    <mergeCell ref="K17:P17"/>
    <mergeCell ref="Q17:R17"/>
    <mergeCell ref="S17:T17"/>
    <mergeCell ref="U17:X17"/>
    <mergeCell ref="K18:P18"/>
    <mergeCell ref="Q18:R18"/>
    <mergeCell ref="K16:P16"/>
    <mergeCell ref="Q16:R16"/>
    <mergeCell ref="S16:T16"/>
    <mergeCell ref="U16:X16"/>
    <mergeCell ref="K13:P13"/>
    <mergeCell ref="Q13:R13"/>
    <mergeCell ref="S13:T13"/>
    <mergeCell ref="K33:P33"/>
    <mergeCell ref="Q33:R33"/>
    <mergeCell ref="U33:V33"/>
    <mergeCell ref="S33:T33"/>
    <mergeCell ref="S32:T32"/>
    <mergeCell ref="K29:P29"/>
    <mergeCell ref="Q29:R29"/>
    <mergeCell ref="U29:V29"/>
    <mergeCell ref="S29:T29"/>
    <mergeCell ref="K30:P30"/>
    <mergeCell ref="Q30:R30"/>
    <mergeCell ref="U30:V30"/>
    <mergeCell ref="K31:P31"/>
    <mergeCell ref="Q31:R31"/>
    <mergeCell ref="U31:V31"/>
    <mergeCell ref="S31:T31"/>
    <mergeCell ref="S30:T30"/>
    <mergeCell ref="Q32:R32"/>
    <mergeCell ref="U32:V32"/>
    <mergeCell ref="E44:H44"/>
    <mergeCell ref="K34:P34"/>
    <mergeCell ref="K38:P38"/>
    <mergeCell ref="Q38:R38"/>
    <mergeCell ref="U38:V38"/>
    <mergeCell ref="K39:P39"/>
    <mergeCell ref="Q39:R39"/>
    <mergeCell ref="U39:V39"/>
    <mergeCell ref="S39:T39"/>
    <mergeCell ref="S38:T38"/>
    <mergeCell ref="K36:P36"/>
    <mergeCell ref="Q36:R36"/>
    <mergeCell ref="U36:V36"/>
    <mergeCell ref="K37:P37"/>
    <mergeCell ref="Q37:R37"/>
    <mergeCell ref="U37:V37"/>
    <mergeCell ref="S37:T37"/>
    <mergeCell ref="S36:T36"/>
    <mergeCell ref="Q34:R34"/>
    <mergeCell ref="U34:V34"/>
    <mergeCell ref="Q35:R35"/>
    <mergeCell ref="U35:V35"/>
    <mergeCell ref="S35:T35"/>
    <mergeCell ref="S34:T34"/>
    <mergeCell ref="A85:D85"/>
    <mergeCell ref="E85:I85"/>
    <mergeCell ref="K27:P27"/>
    <mergeCell ref="Q27:R27"/>
    <mergeCell ref="S27:T27"/>
    <mergeCell ref="U27:V27"/>
    <mergeCell ref="K43:P43"/>
    <mergeCell ref="Q43:R43"/>
    <mergeCell ref="S43:T43"/>
    <mergeCell ref="U43:V43"/>
    <mergeCell ref="K42:P42"/>
    <mergeCell ref="Q42:R42"/>
    <mergeCell ref="S42:T42"/>
    <mergeCell ref="U42:V42"/>
    <mergeCell ref="K40:P40"/>
    <mergeCell ref="Q40:R40"/>
    <mergeCell ref="S40:T40"/>
    <mergeCell ref="U40:V40"/>
    <mergeCell ref="K41:P41"/>
    <mergeCell ref="Q41:R41"/>
    <mergeCell ref="S41:T41"/>
    <mergeCell ref="U41:V41"/>
    <mergeCell ref="K35:P35"/>
    <mergeCell ref="K32:P32"/>
  </mergeCells>
  <dataValidations count="1">
    <dataValidation type="list" allowBlank="1" showInputMessage="1" showErrorMessage="1" error="Please select from the dropdown menu." sqref="F3" xr:uid="{6D43B9DD-74FF-4625-AAE7-28893B347644}">
      <formula1>"Yes,No"</formula1>
    </dataValidation>
  </dataValidations>
  <printOptions horizontalCentered="1"/>
  <pageMargins left="0.25" right="0.25" top="0.25" bottom="0.25" header="0.3" footer="0.3"/>
  <pageSetup scale="85" fitToHeight="2" orientation="portrait" horizontalDpi="1200" r:id="rId1"/>
  <rowBreaks count="1" manualBreakCount="1">
    <brk id="60" max="8"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39FEFD3-04E7-4AF5-BB3C-4349E4D5DB39}">
          <x14:formula1>
            <xm:f>'Project Summary'!$M$130:$M$131</xm:f>
          </x14:formula1>
          <xm:sqref>E82:I82</xm:sqref>
        </x14:dataValidation>
        <x14:dataValidation type="list" allowBlank="1" showInputMessage="1" showErrorMessage="1" xr:uid="{CF15B23B-EF02-442D-806C-4FC7BFDFB453}">
          <x14:formula1>
            <xm:f>'Project Summary'!$Q$178:$Q$182</xm:f>
          </x14:formula1>
          <xm:sqref>E81:I81</xm:sqref>
        </x14:dataValidation>
        <x14:dataValidation type="list" allowBlank="1" showInputMessage="1" showErrorMessage="1" xr:uid="{A4F0A18A-5900-474C-85E9-F452714C1F2F}">
          <x14:formula1>
            <xm:f>'Project Summary'!$T$132:$T$163</xm:f>
          </x14:formula1>
          <xm:sqref>E77:I77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E2C61-A1C6-437C-B314-EF2F448C7126}">
  <dimension ref="A1:U133"/>
  <sheetViews>
    <sheetView zoomScale="85" zoomScaleNormal="85" workbookViewId="0">
      <pane ySplit="6" topLeftCell="A7" activePane="bottomLeft" state="frozen"/>
      <selection activeCell="G33" sqref="G33"/>
      <selection pane="bottomLeft" activeCell="I2" sqref="I2"/>
    </sheetView>
  </sheetViews>
  <sheetFormatPr defaultRowHeight="15" x14ac:dyDescent="0.25"/>
  <cols>
    <col min="1" max="1" width="14.42578125" bestFit="1" customWidth="1"/>
    <col min="2" max="2" width="22" customWidth="1"/>
    <col min="3" max="3" width="11.140625" customWidth="1"/>
    <col min="4" max="4" width="3.28515625" customWidth="1"/>
    <col min="5" max="5" width="22.7109375" customWidth="1"/>
    <col min="6" max="6" width="1.7109375" style="6" customWidth="1"/>
    <col min="7" max="7" width="21.28515625" bestFit="1" customWidth="1"/>
    <col min="8" max="8" width="2.7109375" customWidth="1"/>
    <col min="9" max="9" width="21.28515625" customWidth="1"/>
    <col min="10" max="10" width="9.7109375" bestFit="1" customWidth="1"/>
  </cols>
  <sheetData>
    <row r="1" spans="1:21" ht="18.75" x14ac:dyDescent="0.3">
      <c r="A1" s="950" t="s">
        <v>1079</v>
      </c>
      <c r="B1" s="950"/>
      <c r="C1" s="950"/>
      <c r="D1" s="950"/>
      <c r="E1" s="950"/>
      <c r="F1" s="950"/>
      <c r="G1" s="950"/>
      <c r="H1" s="950"/>
      <c r="I1" s="950"/>
    </row>
    <row r="2" spans="1:21" ht="15.75" customHeight="1" x14ac:dyDescent="0.25">
      <c r="A2" s="253" t="s">
        <v>13</v>
      </c>
      <c r="B2" s="793" t="str">
        <f>IF('Project Summary'!$C$8&lt;1," ",'Project Summary'!$C$8)</f>
        <v xml:space="preserve"> </v>
      </c>
      <c r="C2" s="793"/>
      <c r="D2" s="793"/>
      <c r="E2" s="793"/>
      <c r="F2" s="794"/>
      <c r="G2" s="904" t="s">
        <v>965</v>
      </c>
      <c r="H2" s="823"/>
      <c r="I2" s="538"/>
    </row>
    <row r="3" spans="1:21" x14ac:dyDescent="0.25">
      <c r="A3" s="913" t="s">
        <v>704</v>
      </c>
      <c r="B3" s="1097"/>
      <c r="C3" s="1097"/>
      <c r="D3" s="1097"/>
      <c r="E3" s="1097"/>
      <c r="F3" s="1097"/>
      <c r="G3" s="1097"/>
      <c r="H3" s="1097"/>
      <c r="I3" s="1098"/>
    </row>
    <row r="4" spans="1:21" s="143" customFormat="1" ht="9.9499999999999993" customHeight="1" x14ac:dyDescent="0.2">
      <c r="A4" s="254"/>
      <c r="B4" s="254"/>
      <c r="C4" s="254"/>
      <c r="D4" s="254"/>
      <c r="E4" s="254"/>
      <c r="F4" s="254"/>
      <c r="G4" s="254"/>
      <c r="H4" s="254"/>
    </row>
    <row r="5" spans="1:21" s="143" customFormat="1" ht="31.5" x14ac:dyDescent="0.25">
      <c r="D5" s="919" t="s">
        <v>1026</v>
      </c>
      <c r="E5" s="483" t="s">
        <v>966</v>
      </c>
      <c r="F5" s="255"/>
      <c r="G5" s="483" t="s">
        <v>967</v>
      </c>
      <c r="H5" s="480"/>
      <c r="I5" s="483" t="s">
        <v>878</v>
      </c>
      <c r="T5" s="218"/>
      <c r="U5" s="255"/>
    </row>
    <row r="6" spans="1:21" s="143" customFormat="1" ht="15.75" x14ac:dyDescent="0.25">
      <c r="D6" s="920"/>
      <c r="E6" s="486"/>
      <c r="F6" s="199"/>
      <c r="G6" s="484" t="str">
        <f>IF($I$2="","",EDATE($I$2,12))</f>
        <v/>
      </c>
      <c r="H6" s="481"/>
      <c r="I6" s="486"/>
      <c r="T6" s="218"/>
      <c r="U6" s="255"/>
    </row>
    <row r="7" spans="1:21" ht="15.75" customHeight="1" x14ac:dyDescent="0.25">
      <c r="A7" s="903" t="s">
        <v>299</v>
      </c>
      <c r="B7" s="903"/>
      <c r="C7" s="903"/>
      <c r="D7" s="565"/>
      <c r="E7" s="485"/>
      <c r="F7" s="199"/>
      <c r="G7" s="485"/>
      <c r="H7" s="199"/>
      <c r="I7" s="485"/>
      <c r="Q7" s="40"/>
      <c r="S7" s="40"/>
    </row>
    <row r="8" spans="1:21" ht="15" customHeight="1" x14ac:dyDescent="0.25">
      <c r="A8" s="901" t="s">
        <v>304</v>
      </c>
      <c r="B8" s="898"/>
      <c r="C8" s="899"/>
      <c r="D8" s="638"/>
      <c r="E8" s="414">
        <v>0</v>
      </c>
      <c r="F8" s="421"/>
      <c r="G8" s="414">
        <v>0</v>
      </c>
      <c r="H8" s="421"/>
      <c r="I8" s="414">
        <f>'Development Budget'!$E$8</f>
        <v>0</v>
      </c>
      <c r="Q8" s="18"/>
      <c r="S8" s="18"/>
    </row>
    <row r="9" spans="1:21" ht="15" customHeight="1" x14ac:dyDescent="0.25">
      <c r="A9" s="901" t="s">
        <v>305</v>
      </c>
      <c r="B9" s="898"/>
      <c r="C9" s="899"/>
      <c r="D9" s="638"/>
      <c r="E9" s="414">
        <v>0</v>
      </c>
      <c r="F9" s="421"/>
      <c r="G9" s="414">
        <v>0</v>
      </c>
      <c r="H9" s="426"/>
      <c r="I9" s="425">
        <f>SUM('Development Budget'!$G9:$H9)</f>
        <v>0</v>
      </c>
      <c r="Q9" s="42"/>
      <c r="S9" s="18"/>
    </row>
    <row r="10" spans="1:21" ht="15" customHeight="1" x14ac:dyDescent="0.25">
      <c r="A10" s="901" t="s">
        <v>306</v>
      </c>
      <c r="B10" s="898"/>
      <c r="C10" s="899"/>
      <c r="D10" s="638"/>
      <c r="E10" s="414">
        <v>0</v>
      </c>
      <c r="F10" s="421"/>
      <c r="G10" s="414">
        <v>0</v>
      </c>
      <c r="H10" s="421"/>
      <c r="I10" s="414">
        <f>SUM('Development Budget'!$G10:$H10)</f>
        <v>0</v>
      </c>
      <c r="Q10" s="42"/>
      <c r="S10" s="18"/>
    </row>
    <row r="11" spans="1:21" ht="15" customHeight="1" x14ac:dyDescent="0.25">
      <c r="A11" s="908" t="s">
        <v>307</v>
      </c>
      <c r="B11" s="909"/>
      <c r="C11" s="909"/>
      <c r="D11" s="910"/>
      <c r="E11" s="31">
        <f>SUM($E$8:$E$10)</f>
        <v>0</v>
      </c>
      <c r="F11" s="421"/>
      <c r="G11" s="31">
        <f>SUM($G$8:$G$10)</f>
        <v>0</v>
      </c>
      <c r="H11" s="422"/>
      <c r="I11" s="21">
        <f>SUM($I$8:$I$10)</f>
        <v>0</v>
      </c>
      <c r="Q11" s="42"/>
      <c r="S11" s="18"/>
    </row>
    <row r="12" spans="1:21" ht="9.9499999999999993" customHeight="1" x14ac:dyDescent="0.25">
      <c r="A12" s="126"/>
      <c r="F12"/>
      <c r="Q12" s="53"/>
      <c r="S12" s="18"/>
    </row>
    <row r="13" spans="1:21" ht="15.75" x14ac:dyDescent="0.25">
      <c r="A13" s="903" t="s">
        <v>308</v>
      </c>
      <c r="B13" s="903"/>
      <c r="C13" s="903"/>
      <c r="D13" s="205"/>
      <c r="F13"/>
      <c r="Q13" s="42"/>
      <c r="S13" s="18"/>
    </row>
    <row r="14" spans="1:21" ht="15" customHeight="1" x14ac:dyDescent="0.25">
      <c r="A14" s="901" t="s">
        <v>309</v>
      </c>
      <c r="B14" s="898"/>
      <c r="C14" s="899"/>
      <c r="D14" s="638"/>
      <c r="E14" s="414">
        <v>0</v>
      </c>
      <c r="F14" s="426"/>
      <c r="G14" s="414">
        <v>0</v>
      </c>
      <c r="H14" s="426"/>
      <c r="I14" s="425">
        <f>SUM('Development Budget'!$G14:$H14)</f>
        <v>0</v>
      </c>
      <c r="K14" s="258"/>
      <c r="Q14" s="18"/>
      <c r="S14" s="18"/>
    </row>
    <row r="15" spans="1:21" ht="15" customHeight="1" x14ac:dyDescent="0.25">
      <c r="A15" s="897" t="s">
        <v>310</v>
      </c>
      <c r="B15" s="898"/>
      <c r="C15" s="899"/>
      <c r="D15" s="638"/>
      <c r="E15" s="414">
        <v>0</v>
      </c>
      <c r="F15" s="421"/>
      <c r="G15" s="414">
        <v>0</v>
      </c>
      <c r="H15" s="421"/>
      <c r="I15" s="414">
        <f>SUM('Development Budget'!$G15:$H15)</f>
        <v>0</v>
      </c>
      <c r="Q15" s="18"/>
      <c r="S15" s="18"/>
    </row>
    <row r="16" spans="1:21" ht="15" customHeight="1" x14ac:dyDescent="0.25">
      <c r="A16" s="897" t="s">
        <v>311</v>
      </c>
      <c r="B16" s="898"/>
      <c r="C16" s="899"/>
      <c r="D16" s="638"/>
      <c r="E16" s="414">
        <v>0</v>
      </c>
      <c r="F16" s="426"/>
      <c r="G16" s="414">
        <v>0</v>
      </c>
      <c r="H16" s="426"/>
      <c r="I16" s="425">
        <f>SUM('Development Budget'!$G16:$H16)</f>
        <v>0</v>
      </c>
      <c r="K16" s="259"/>
      <c r="L16" s="259"/>
      <c r="Q16" s="18"/>
      <c r="S16" s="18"/>
    </row>
    <row r="17" spans="1:19" ht="15" customHeight="1" x14ac:dyDescent="0.25">
      <c r="A17" s="905" t="str">
        <f>IF('Development Budget'!A17="","",'Development Budget'!A17)</f>
        <v/>
      </c>
      <c r="B17" s="1085"/>
      <c r="C17" s="1086"/>
      <c r="D17" s="638"/>
      <c r="E17" s="414">
        <v>0</v>
      </c>
      <c r="F17" s="426"/>
      <c r="G17" s="414">
        <v>0</v>
      </c>
      <c r="H17" s="426"/>
      <c r="I17" s="425">
        <f>SUM('Development Budget'!$G17:$H17)</f>
        <v>0</v>
      </c>
      <c r="K17" s="259"/>
      <c r="L17" s="259"/>
      <c r="Q17" s="18"/>
      <c r="S17" s="18"/>
    </row>
    <row r="18" spans="1:19" ht="15" customHeight="1" x14ac:dyDescent="0.25">
      <c r="A18" s="908" t="s">
        <v>312</v>
      </c>
      <c r="B18" s="909"/>
      <c r="C18" s="909"/>
      <c r="D18" s="910"/>
      <c r="E18" s="31">
        <f>SUM($E$14:$E$17)</f>
        <v>0</v>
      </c>
      <c r="F18" s="422"/>
      <c r="G18" s="31">
        <f>SUM($G$14:$G$17)</f>
        <v>0</v>
      </c>
      <c r="H18" s="422"/>
      <c r="I18" s="21">
        <f>SUM($I$14:$I$17)</f>
        <v>0</v>
      </c>
      <c r="K18" s="259"/>
      <c r="L18" s="259"/>
      <c r="Q18" s="18"/>
      <c r="S18" s="18"/>
    </row>
    <row r="19" spans="1:19" ht="9.9499999999999993" customHeight="1" x14ac:dyDescent="0.25">
      <c r="A19" s="126"/>
      <c r="F19"/>
      <c r="K19" s="259"/>
      <c r="L19" s="259"/>
      <c r="Q19" s="18"/>
      <c r="S19" s="18"/>
    </row>
    <row r="20" spans="1:19" ht="15.75" customHeight="1" x14ac:dyDescent="0.25">
      <c r="A20" s="903" t="s">
        <v>313</v>
      </c>
      <c r="B20" s="903"/>
      <c r="C20" s="903"/>
      <c r="D20" s="205"/>
      <c r="F20"/>
      <c r="K20" s="259"/>
      <c r="L20" s="259"/>
      <c r="Q20" s="18"/>
      <c r="S20" s="18"/>
    </row>
    <row r="21" spans="1:19" ht="15" customHeight="1" x14ac:dyDescent="0.25">
      <c r="A21" s="901" t="s">
        <v>314</v>
      </c>
      <c r="B21" s="898"/>
      <c r="C21" s="899"/>
      <c r="D21" s="638"/>
      <c r="E21" s="414">
        <v>0</v>
      </c>
      <c r="F21" s="426"/>
      <c r="G21" s="414">
        <v>0</v>
      </c>
      <c r="H21" s="426"/>
      <c r="I21" s="425">
        <f>SUM('Development Budget'!$G21:$H21)</f>
        <v>0</v>
      </c>
      <c r="Q21" s="18"/>
      <c r="S21" s="18"/>
    </row>
    <row r="22" spans="1:19" ht="15" customHeight="1" x14ac:dyDescent="0.25">
      <c r="A22" s="901" t="s">
        <v>315</v>
      </c>
      <c r="B22" s="898"/>
      <c r="C22" s="899"/>
      <c r="D22" s="638"/>
      <c r="E22" s="414">
        <v>0</v>
      </c>
      <c r="F22" s="426"/>
      <c r="G22" s="414">
        <v>0</v>
      </c>
      <c r="H22" s="426"/>
      <c r="I22" s="425">
        <f>SUM('Development Budget'!$G22:$H22)</f>
        <v>0</v>
      </c>
      <c r="Q22" s="18"/>
      <c r="S22" s="18"/>
    </row>
    <row r="23" spans="1:19" ht="15" customHeight="1" x14ac:dyDescent="0.25">
      <c r="A23" s="901" t="s">
        <v>316</v>
      </c>
      <c r="B23" s="898"/>
      <c r="C23" s="899"/>
      <c r="D23" s="638"/>
      <c r="E23" s="414">
        <v>0</v>
      </c>
      <c r="F23" s="426"/>
      <c r="G23" s="414">
        <v>0</v>
      </c>
      <c r="H23" s="426"/>
      <c r="I23" s="425">
        <f>SUM('Development Budget'!$G23:$H23)</f>
        <v>0</v>
      </c>
      <c r="Q23" s="18"/>
      <c r="S23" s="18"/>
    </row>
    <row r="24" spans="1:19" ht="15" customHeight="1" x14ac:dyDescent="0.25">
      <c r="A24" s="901" t="s">
        <v>317</v>
      </c>
      <c r="B24" s="902"/>
      <c r="C24" s="922"/>
      <c r="D24" s="637"/>
      <c r="E24" s="414">
        <v>0</v>
      </c>
      <c r="F24" s="426"/>
      <c r="G24" s="414">
        <v>0</v>
      </c>
      <c r="H24" s="426"/>
      <c r="I24" s="425">
        <f>SUM('Development Budget'!$G24:$H24)</f>
        <v>0</v>
      </c>
      <c r="J24" s="261"/>
      <c r="Q24" s="18"/>
      <c r="S24" s="18"/>
    </row>
    <row r="25" spans="1:19" ht="15" customHeight="1" x14ac:dyDescent="0.25">
      <c r="A25" s="901" t="s">
        <v>318</v>
      </c>
      <c r="B25" s="902"/>
      <c r="C25" s="922"/>
      <c r="D25" s="637"/>
      <c r="E25" s="414">
        <v>0</v>
      </c>
      <c r="F25" s="426"/>
      <c r="G25" s="414">
        <v>0</v>
      </c>
      <c r="H25" s="426"/>
      <c r="I25" s="425">
        <f>SUM('Development Budget'!$G25:$H25)</f>
        <v>0</v>
      </c>
      <c r="J25" s="261"/>
      <c r="Q25" s="18"/>
      <c r="S25" s="18"/>
    </row>
    <row r="26" spans="1:19" ht="15" customHeight="1" x14ac:dyDescent="0.25">
      <c r="A26" s="901" t="s">
        <v>319</v>
      </c>
      <c r="B26" s="902"/>
      <c r="C26" s="922"/>
      <c r="D26" s="637"/>
      <c r="E26" s="414">
        <v>0</v>
      </c>
      <c r="F26" s="426"/>
      <c r="G26" s="414">
        <v>0</v>
      </c>
      <c r="H26" s="426"/>
      <c r="I26" s="425">
        <f>SUM('Development Budget'!$G26:$H26)</f>
        <v>0</v>
      </c>
      <c r="J26" s="261"/>
      <c r="Q26" s="18"/>
      <c r="S26" s="18"/>
    </row>
    <row r="27" spans="1:19" s="126" customFormat="1" x14ac:dyDescent="0.25">
      <c r="A27" s="904" t="s">
        <v>379</v>
      </c>
      <c r="B27" s="902"/>
      <c r="C27" s="51"/>
      <c r="D27" s="641"/>
      <c r="E27" s="263"/>
      <c r="F27" s="423"/>
      <c r="G27" s="263"/>
      <c r="H27" s="423"/>
      <c r="I27" s="263"/>
      <c r="J27" s="264"/>
      <c r="Q27" s="53"/>
      <c r="S27" s="53"/>
    </row>
    <row r="28" spans="1:19" s="265" customFormat="1" ht="15" customHeight="1" x14ac:dyDescent="0.25">
      <c r="A28" s="905" t="s">
        <v>320</v>
      </c>
      <c r="B28" s="906"/>
      <c r="C28" s="907"/>
      <c r="D28" s="637"/>
      <c r="E28" s="414">
        <v>0</v>
      </c>
      <c r="F28" s="426"/>
      <c r="G28" s="414">
        <v>0</v>
      </c>
      <c r="H28" s="426"/>
      <c r="I28" s="425">
        <f>SUM('Development Budget'!$G28:$H28)</f>
        <v>0</v>
      </c>
      <c r="J28" s="266"/>
      <c r="Q28" s="43"/>
      <c r="S28" s="43"/>
    </row>
    <row r="29" spans="1:19" s="265" customFormat="1" ht="15" customHeight="1" x14ac:dyDescent="0.25">
      <c r="A29" s="905" t="s">
        <v>321</v>
      </c>
      <c r="B29" s="906"/>
      <c r="C29" s="907"/>
      <c r="D29" s="637"/>
      <c r="E29" s="414">
        <v>0</v>
      </c>
      <c r="F29" s="426"/>
      <c r="G29" s="414">
        <v>0</v>
      </c>
      <c r="H29" s="426"/>
      <c r="I29" s="425">
        <f>SUM('Development Budget'!$G29:$H29)</f>
        <v>0</v>
      </c>
      <c r="J29" s="266"/>
      <c r="Q29" s="43"/>
      <c r="S29" s="43"/>
    </row>
    <row r="30" spans="1:19" s="265" customFormat="1" ht="15" customHeight="1" x14ac:dyDescent="0.25">
      <c r="A30" s="905" t="s">
        <v>322</v>
      </c>
      <c r="B30" s="906"/>
      <c r="C30" s="907"/>
      <c r="D30" s="637"/>
      <c r="E30" s="414">
        <v>0</v>
      </c>
      <c r="F30" s="426"/>
      <c r="G30" s="414">
        <v>0</v>
      </c>
      <c r="H30" s="426"/>
      <c r="I30" s="425">
        <f>SUM('Development Budget'!$G30:$H30)</f>
        <v>0</v>
      </c>
      <c r="J30" s="266"/>
      <c r="Q30" s="43"/>
      <c r="S30" s="43"/>
    </row>
    <row r="31" spans="1:19" ht="15" customHeight="1" x14ac:dyDescent="0.25">
      <c r="A31" s="901" t="s">
        <v>323</v>
      </c>
      <c r="B31" s="902"/>
      <c r="C31" s="922"/>
      <c r="D31" s="637"/>
      <c r="E31" s="414">
        <v>0</v>
      </c>
      <c r="F31" s="426"/>
      <c r="G31" s="414">
        <v>0</v>
      </c>
      <c r="H31" s="426"/>
      <c r="I31" s="425">
        <f>SUM('Development Budget'!$G31:$H31)</f>
        <v>0</v>
      </c>
      <c r="Q31" s="18"/>
      <c r="S31" s="18"/>
    </row>
    <row r="32" spans="1:19" ht="15" customHeight="1" x14ac:dyDescent="0.25">
      <c r="A32" s="905" t="str">
        <f>IF('Development Budget'!A32="","",'Development Budget'!A32)</f>
        <v/>
      </c>
      <c r="B32" s="1085"/>
      <c r="C32" s="1086"/>
      <c r="D32" s="638"/>
      <c r="E32" s="414">
        <v>0</v>
      </c>
      <c r="F32" s="426"/>
      <c r="G32" s="414">
        <v>0</v>
      </c>
      <c r="H32" s="426"/>
      <c r="I32" s="425">
        <f>SUM('Development Budget'!$G32:$H32)</f>
        <v>0</v>
      </c>
      <c r="Q32" s="18"/>
      <c r="S32" s="18"/>
    </row>
    <row r="33" spans="1:19" ht="15" customHeight="1" x14ac:dyDescent="0.25">
      <c r="A33" s="905" t="str">
        <f>IF('Development Budget'!A33="","",'Development Budget'!A33)</f>
        <v/>
      </c>
      <c r="B33" s="1085"/>
      <c r="C33" s="1086"/>
      <c r="D33" s="638"/>
      <c r="E33" s="414">
        <v>0</v>
      </c>
      <c r="F33" s="426"/>
      <c r="G33" s="414">
        <v>0</v>
      </c>
      <c r="H33" s="426"/>
      <c r="I33" s="425">
        <f>SUM('Development Budget'!$G33:$H33)</f>
        <v>0</v>
      </c>
      <c r="Q33" s="18"/>
      <c r="S33" s="18"/>
    </row>
    <row r="34" spans="1:19" ht="15" customHeight="1" x14ac:dyDescent="0.25">
      <c r="A34" s="905" t="str">
        <f>IF('Development Budget'!A34="","",'Development Budget'!A34)</f>
        <v/>
      </c>
      <c r="B34" s="1085"/>
      <c r="C34" s="1086"/>
      <c r="D34" s="638"/>
      <c r="E34" s="414">
        <v>0</v>
      </c>
      <c r="F34" s="426"/>
      <c r="G34" s="414">
        <v>0</v>
      </c>
      <c r="H34" s="426"/>
      <c r="I34" s="425">
        <f>SUM('Development Budget'!$G34:$H34)</f>
        <v>0</v>
      </c>
      <c r="Q34" s="18"/>
      <c r="S34" s="18"/>
    </row>
    <row r="35" spans="1:19" ht="15" customHeight="1" x14ac:dyDescent="0.25">
      <c r="A35" s="908" t="s">
        <v>324</v>
      </c>
      <c r="B35" s="909"/>
      <c r="C35" s="909"/>
      <c r="D35" s="910"/>
      <c r="E35" s="31">
        <f>SUM($E$21:$E$34)</f>
        <v>0</v>
      </c>
      <c r="F35" s="422"/>
      <c r="G35" s="31">
        <f>SUM($G$21:$G$34)</f>
        <v>0</v>
      </c>
      <c r="H35" s="422"/>
      <c r="I35" s="21">
        <f>SUM($I$21:$I$34)</f>
        <v>0</v>
      </c>
      <c r="Q35" s="18"/>
      <c r="S35" s="18"/>
    </row>
    <row r="36" spans="1:19" ht="9.9499999999999993" customHeight="1" x14ac:dyDescent="0.25">
      <c r="A36" s="126"/>
      <c r="B36" s="126"/>
      <c r="C36" s="126"/>
      <c r="D36" s="126"/>
      <c r="F36"/>
      <c r="Q36" s="18"/>
      <c r="S36" s="18"/>
    </row>
    <row r="37" spans="1:19" ht="15.75" customHeight="1" x14ac:dyDescent="0.25">
      <c r="A37" s="903" t="s">
        <v>325</v>
      </c>
      <c r="B37" s="903"/>
      <c r="C37" s="903"/>
      <c r="D37" s="205"/>
      <c r="F37"/>
      <c r="Q37" s="18"/>
      <c r="S37" s="18"/>
    </row>
    <row r="38" spans="1:19" ht="15" customHeight="1" x14ac:dyDescent="0.25">
      <c r="A38" s="897" t="s">
        <v>326</v>
      </c>
      <c r="B38" s="898"/>
      <c r="C38" s="899"/>
      <c r="D38" s="638"/>
      <c r="E38" s="414">
        <v>0</v>
      </c>
      <c r="F38" s="426"/>
      <c r="G38" s="414">
        <v>0</v>
      </c>
      <c r="H38" s="426"/>
      <c r="I38" s="425">
        <f>SUM('Development Budget'!$G38:$H38)</f>
        <v>0</v>
      </c>
      <c r="Q38" s="18"/>
      <c r="S38" s="18"/>
    </row>
    <row r="39" spans="1:19" ht="15" customHeight="1" x14ac:dyDescent="0.25">
      <c r="A39" s="897" t="s">
        <v>327</v>
      </c>
      <c r="B39" s="898"/>
      <c r="C39" s="899"/>
      <c r="D39" s="638"/>
      <c r="E39" s="414">
        <v>0</v>
      </c>
      <c r="F39" s="426"/>
      <c r="G39" s="414">
        <v>0</v>
      </c>
      <c r="H39" s="426"/>
      <c r="I39" s="425">
        <f>SUM('Development Budget'!$G39:$H39)</f>
        <v>0</v>
      </c>
      <c r="Q39" s="18"/>
      <c r="S39" s="18"/>
    </row>
    <row r="40" spans="1:19" ht="15" customHeight="1" x14ac:dyDescent="0.25">
      <c r="A40" s="901" t="s">
        <v>328</v>
      </c>
      <c r="B40" s="898"/>
      <c r="C40" s="899"/>
      <c r="D40" s="638"/>
      <c r="E40" s="414">
        <v>0</v>
      </c>
      <c r="F40" s="426"/>
      <c r="G40" s="414">
        <v>0</v>
      </c>
      <c r="H40" s="426"/>
      <c r="I40" s="425">
        <f>SUM('Development Budget'!$G40:$H40)</f>
        <v>0</v>
      </c>
      <c r="Q40" s="18"/>
      <c r="S40" s="18"/>
    </row>
    <row r="41" spans="1:19" ht="15" customHeight="1" x14ac:dyDescent="0.25">
      <c r="A41" s="897" t="s">
        <v>329</v>
      </c>
      <c r="B41" s="898"/>
      <c r="C41" s="899"/>
      <c r="D41" s="638"/>
      <c r="E41" s="414">
        <v>0</v>
      </c>
      <c r="F41" s="426"/>
      <c r="G41" s="414">
        <v>0</v>
      </c>
      <c r="H41" s="426"/>
      <c r="I41" s="425">
        <f>SUM('Development Budget'!$G41:$H41)</f>
        <v>0</v>
      </c>
      <c r="Q41" s="18"/>
      <c r="S41" s="18"/>
    </row>
    <row r="42" spans="1:19" ht="15" customHeight="1" x14ac:dyDescent="0.25">
      <c r="A42" s="897" t="s">
        <v>330</v>
      </c>
      <c r="B42" s="898"/>
      <c r="C42" s="899"/>
      <c r="D42" s="638"/>
      <c r="E42" s="414">
        <v>0</v>
      </c>
      <c r="F42" s="426"/>
      <c r="G42" s="414">
        <v>0</v>
      </c>
      <c r="H42" s="426"/>
      <c r="I42" s="425">
        <f>SUM('Development Budget'!$G42:$H42)</f>
        <v>0</v>
      </c>
      <c r="Q42" s="18"/>
      <c r="S42" s="18"/>
    </row>
    <row r="43" spans="1:19" ht="15" customHeight="1" x14ac:dyDescent="0.25">
      <c r="A43" s="905" t="str">
        <f>IF('Development Budget'!A43="","",'Development Budget'!A43)</f>
        <v/>
      </c>
      <c r="B43" s="1085"/>
      <c r="C43" s="1086"/>
      <c r="D43" s="638"/>
      <c r="E43" s="414">
        <v>0</v>
      </c>
      <c r="F43" s="426"/>
      <c r="G43" s="414">
        <v>0</v>
      </c>
      <c r="H43" s="426"/>
      <c r="I43" s="425">
        <f>SUM('Development Budget'!$G43:$H43)</f>
        <v>0</v>
      </c>
      <c r="Q43" s="18"/>
      <c r="S43" s="18"/>
    </row>
    <row r="44" spans="1:19" ht="15" customHeight="1" x14ac:dyDescent="0.25">
      <c r="A44" s="905" t="str">
        <f>IF('Development Budget'!A44="","",'Development Budget'!A44)</f>
        <v/>
      </c>
      <c r="B44" s="1085"/>
      <c r="C44" s="1086"/>
      <c r="D44" s="638"/>
      <c r="E44" s="414">
        <v>0</v>
      </c>
      <c r="F44" s="426"/>
      <c r="G44" s="414">
        <v>0</v>
      </c>
      <c r="H44" s="426"/>
      <c r="I44" s="425">
        <f>SUM('Development Budget'!$G44:$H44)</f>
        <v>0</v>
      </c>
      <c r="Q44" s="18"/>
      <c r="S44" s="18"/>
    </row>
    <row r="45" spans="1:19" ht="15" customHeight="1" x14ac:dyDescent="0.25">
      <c r="A45" s="905" t="str">
        <f>IF('Development Budget'!A45="","",'Development Budget'!A45)</f>
        <v/>
      </c>
      <c r="B45" s="1085"/>
      <c r="C45" s="1086"/>
      <c r="D45" s="638"/>
      <c r="E45" s="414">
        <v>0</v>
      </c>
      <c r="F45" s="426"/>
      <c r="G45" s="414">
        <v>0</v>
      </c>
      <c r="H45" s="426"/>
      <c r="I45" s="425">
        <f>SUM('Development Budget'!$G45:$H45)</f>
        <v>0</v>
      </c>
      <c r="Q45" s="18"/>
      <c r="S45" s="18"/>
    </row>
    <row r="46" spans="1:19" ht="15" customHeight="1" x14ac:dyDescent="0.25">
      <c r="A46" s="908" t="s">
        <v>331</v>
      </c>
      <c r="B46" s="909"/>
      <c r="C46" s="909"/>
      <c r="D46" s="910"/>
      <c r="E46" s="31">
        <f>SUM($E$38:$E$45)</f>
        <v>0</v>
      </c>
      <c r="F46" s="422"/>
      <c r="G46" s="31">
        <f>SUM($G$38:$G$45)</f>
        <v>0</v>
      </c>
      <c r="H46" s="422"/>
      <c r="I46" s="21">
        <f>SUM($I$38:$I$45)</f>
        <v>0</v>
      </c>
      <c r="Q46" s="44"/>
      <c r="S46" s="18"/>
    </row>
    <row r="47" spans="1:19" ht="9.9499999999999993" customHeight="1" x14ac:dyDescent="0.25">
      <c r="B47" s="198"/>
      <c r="C47" s="20"/>
      <c r="D47" s="20"/>
      <c r="F47"/>
      <c r="Q47" s="18"/>
      <c r="S47" s="18"/>
    </row>
    <row r="48" spans="1:19" ht="15.75" customHeight="1" x14ac:dyDescent="0.25">
      <c r="A48" s="903" t="s">
        <v>332</v>
      </c>
      <c r="B48" s="903"/>
      <c r="C48" s="903"/>
      <c r="D48" s="205"/>
      <c r="F48"/>
      <c r="Q48" s="18"/>
      <c r="S48" s="18"/>
    </row>
    <row r="49" spans="1:19" ht="15" customHeight="1" x14ac:dyDescent="0.25">
      <c r="A49" s="901" t="s">
        <v>333</v>
      </c>
      <c r="B49" s="898"/>
      <c r="C49" s="899"/>
      <c r="D49" s="638"/>
      <c r="E49" s="414">
        <v>0</v>
      </c>
      <c r="F49" s="426"/>
      <c r="G49" s="414">
        <v>0</v>
      </c>
      <c r="H49" s="426"/>
      <c r="I49" s="425">
        <f>SUM('Development Budget'!$G49:$H49)</f>
        <v>0</v>
      </c>
      <c r="Q49" s="18"/>
      <c r="S49" s="18"/>
    </row>
    <row r="50" spans="1:19" ht="15" customHeight="1" x14ac:dyDescent="0.25">
      <c r="A50" s="901" t="s">
        <v>334</v>
      </c>
      <c r="B50" s="898"/>
      <c r="C50" s="899"/>
      <c r="D50" s="638"/>
      <c r="E50" s="414">
        <v>0</v>
      </c>
      <c r="F50" s="426"/>
      <c r="G50" s="414">
        <v>0</v>
      </c>
      <c r="H50" s="426"/>
      <c r="I50" s="425">
        <f>SUM('Development Budget'!$G50:$H50)</f>
        <v>0</v>
      </c>
      <c r="Q50" s="18"/>
      <c r="S50" s="18"/>
    </row>
    <row r="51" spans="1:19" ht="15" customHeight="1" x14ac:dyDescent="0.25">
      <c r="A51" s="901" t="s">
        <v>335</v>
      </c>
      <c r="B51" s="898"/>
      <c r="C51" s="899"/>
      <c r="D51" s="638"/>
      <c r="E51" s="414">
        <v>0</v>
      </c>
      <c r="F51" s="426"/>
      <c r="G51" s="414">
        <v>0</v>
      </c>
      <c r="H51" s="426"/>
      <c r="I51" s="425">
        <f>SUM('Development Budget'!$G51:$H51)</f>
        <v>0</v>
      </c>
      <c r="Q51" s="18"/>
      <c r="S51" s="18"/>
    </row>
    <row r="52" spans="1:19" ht="15" customHeight="1" x14ac:dyDescent="0.25">
      <c r="A52" s="901" t="s">
        <v>336</v>
      </c>
      <c r="B52" s="898"/>
      <c r="C52" s="899"/>
      <c r="D52" s="638"/>
      <c r="E52" s="414">
        <v>0</v>
      </c>
      <c r="F52" s="426"/>
      <c r="G52" s="414">
        <v>0</v>
      </c>
      <c r="H52" s="426"/>
      <c r="I52" s="425">
        <f>SUM('Development Budget'!$G52:$H52)</f>
        <v>0</v>
      </c>
      <c r="Q52" s="18"/>
      <c r="S52" s="18"/>
    </row>
    <row r="53" spans="1:19" ht="15" customHeight="1" x14ac:dyDescent="0.25">
      <c r="A53" s="901" t="s">
        <v>337</v>
      </c>
      <c r="B53" s="898"/>
      <c r="C53" s="899"/>
      <c r="D53" s="638"/>
      <c r="E53" s="414">
        <v>0</v>
      </c>
      <c r="F53" s="426"/>
      <c r="G53" s="414">
        <v>0</v>
      </c>
      <c r="H53" s="426"/>
      <c r="I53" s="425">
        <f>SUM('Development Budget'!$G53:$H53)</f>
        <v>0</v>
      </c>
      <c r="Q53" s="18"/>
      <c r="S53" s="18"/>
    </row>
    <row r="54" spans="1:19" ht="15" customHeight="1" x14ac:dyDescent="0.25">
      <c r="A54" s="901" t="s">
        <v>1099</v>
      </c>
      <c r="B54" s="898"/>
      <c r="C54" s="899"/>
      <c r="D54" s="638"/>
      <c r="E54" s="414">
        <v>0</v>
      </c>
      <c r="F54" s="426"/>
      <c r="G54" s="256"/>
      <c r="H54" s="426"/>
      <c r="I54" s="425">
        <f>SUM('Development Budget'!$G54:$H54)</f>
        <v>0</v>
      </c>
      <c r="Q54" s="18"/>
      <c r="S54" s="18"/>
    </row>
    <row r="55" spans="1:19" ht="15" customHeight="1" x14ac:dyDescent="0.25">
      <c r="A55" s="901" t="s">
        <v>338</v>
      </c>
      <c r="B55" s="898"/>
      <c r="C55" s="899"/>
      <c r="D55" s="638"/>
      <c r="E55" s="414">
        <v>0</v>
      </c>
      <c r="F55" s="426"/>
      <c r="G55" s="414">
        <v>0</v>
      </c>
      <c r="H55" s="426"/>
      <c r="I55" s="425">
        <f>SUM('Development Budget'!$G55:$H55)</f>
        <v>0</v>
      </c>
      <c r="Q55" s="18"/>
      <c r="S55" s="18"/>
    </row>
    <row r="56" spans="1:19" ht="15" customHeight="1" x14ac:dyDescent="0.25">
      <c r="A56" s="901" t="s">
        <v>339</v>
      </c>
      <c r="B56" s="898"/>
      <c r="C56" s="899"/>
      <c r="D56" s="638"/>
      <c r="E56" s="414">
        <v>0</v>
      </c>
      <c r="F56" s="426"/>
      <c r="G56" s="414">
        <v>0</v>
      </c>
      <c r="H56" s="426"/>
      <c r="I56" s="425">
        <f>SUM('Development Budget'!$G56:$H56)</f>
        <v>0</v>
      </c>
      <c r="Q56" s="18"/>
      <c r="S56" s="18"/>
    </row>
    <row r="57" spans="1:19" ht="15" customHeight="1" x14ac:dyDescent="0.25">
      <c r="A57" s="901" t="s">
        <v>340</v>
      </c>
      <c r="B57" s="898"/>
      <c r="C57" s="899"/>
      <c r="D57" s="638"/>
      <c r="E57" s="414">
        <v>0</v>
      </c>
      <c r="F57" s="426"/>
      <c r="G57" s="414">
        <v>0</v>
      </c>
      <c r="H57" s="426"/>
      <c r="I57" s="425">
        <f>SUM('Development Budget'!$G57:$H57)</f>
        <v>0</v>
      </c>
      <c r="Q57" s="18"/>
      <c r="S57" s="18"/>
    </row>
    <row r="58" spans="1:19" ht="15" customHeight="1" x14ac:dyDescent="0.25">
      <c r="A58" s="901" t="s">
        <v>182</v>
      </c>
      <c r="B58" s="898"/>
      <c r="C58" s="899"/>
      <c r="D58" s="638"/>
      <c r="E58" s="414">
        <v>0</v>
      </c>
      <c r="F58" s="426"/>
      <c r="G58" s="414">
        <v>0</v>
      </c>
      <c r="H58" s="426"/>
      <c r="I58" s="425">
        <f>SUM('Development Budget'!$G58:$H58)</f>
        <v>0</v>
      </c>
      <c r="Q58" s="18"/>
      <c r="S58" s="18"/>
    </row>
    <row r="59" spans="1:19" ht="15" customHeight="1" x14ac:dyDescent="0.25">
      <c r="A59" s="901" t="s">
        <v>341</v>
      </c>
      <c r="B59" s="898"/>
      <c r="C59" s="899"/>
      <c r="D59" s="638"/>
      <c r="E59" s="414">
        <v>0</v>
      </c>
      <c r="F59" s="426"/>
      <c r="G59" s="414">
        <v>0</v>
      </c>
      <c r="H59" s="426"/>
      <c r="I59" s="425">
        <f>SUM('Development Budget'!$G59:$H59)</f>
        <v>0</v>
      </c>
      <c r="Q59" s="18"/>
      <c r="S59" s="18"/>
    </row>
    <row r="60" spans="1:19" ht="15" customHeight="1" x14ac:dyDescent="0.25">
      <c r="A60" s="905" t="str">
        <f>IF('Development Budget'!A60="","",'Development Budget'!A60)</f>
        <v/>
      </c>
      <c r="B60" s="1085"/>
      <c r="C60" s="1086"/>
      <c r="D60" s="638"/>
      <c r="E60" s="414">
        <v>0</v>
      </c>
      <c r="F60" s="426"/>
      <c r="G60" s="414">
        <v>0</v>
      </c>
      <c r="H60" s="426"/>
      <c r="I60" s="425">
        <f>SUM('Development Budget'!$G60:$H60)</f>
        <v>0</v>
      </c>
      <c r="Q60" s="18"/>
      <c r="S60" s="18"/>
    </row>
    <row r="61" spans="1:19" ht="15" customHeight="1" x14ac:dyDescent="0.25">
      <c r="A61" s="905" t="str">
        <f>IF('Development Budget'!A61="","",'Development Budget'!A61)</f>
        <v/>
      </c>
      <c r="B61" s="1085"/>
      <c r="C61" s="1086"/>
      <c r="D61" s="638"/>
      <c r="E61" s="414">
        <v>0</v>
      </c>
      <c r="F61" s="426"/>
      <c r="G61" s="414">
        <v>0</v>
      </c>
      <c r="H61" s="426"/>
      <c r="I61" s="425">
        <f>SUM('Development Budget'!$G61:$H61)</f>
        <v>0</v>
      </c>
      <c r="Q61" s="18"/>
      <c r="S61" s="18"/>
    </row>
    <row r="62" spans="1:19" ht="15" customHeight="1" x14ac:dyDescent="0.25">
      <c r="A62" s="905" t="str">
        <f>IF('Development Budget'!A62="","",'Development Budget'!A62)</f>
        <v/>
      </c>
      <c r="B62" s="1085"/>
      <c r="C62" s="1086"/>
      <c r="D62" s="638"/>
      <c r="E62" s="414">
        <v>0</v>
      </c>
      <c r="F62" s="426"/>
      <c r="G62" s="414">
        <v>0</v>
      </c>
      <c r="H62" s="426"/>
      <c r="I62" s="425">
        <f>SUM('Development Budget'!$G62:$H62)</f>
        <v>0</v>
      </c>
      <c r="Q62" s="18"/>
      <c r="S62" s="18"/>
    </row>
    <row r="63" spans="1:19" ht="15" customHeight="1" x14ac:dyDescent="0.25">
      <c r="A63" s="908" t="s">
        <v>342</v>
      </c>
      <c r="B63" s="909"/>
      <c r="C63" s="909"/>
      <c r="D63" s="910"/>
      <c r="E63" s="31">
        <f>SUM($E$49:$E$62)</f>
        <v>0</v>
      </c>
      <c r="F63" s="422"/>
      <c r="G63" s="31">
        <f>SUM($G$49:$G$62)</f>
        <v>0</v>
      </c>
      <c r="H63" s="422"/>
      <c r="I63" s="21">
        <f>SUM($I$49:$I$62)</f>
        <v>0</v>
      </c>
      <c r="Q63" s="44"/>
      <c r="S63" s="18"/>
    </row>
    <row r="64" spans="1:19" ht="9.9499999999999993" customHeight="1" x14ac:dyDescent="0.25">
      <c r="A64" s="271"/>
      <c r="B64" s="188"/>
      <c r="C64" s="188"/>
      <c r="D64" s="188"/>
      <c r="F64"/>
      <c r="Q64" s="415"/>
      <c r="S64" s="415"/>
    </row>
    <row r="65" spans="1:19" ht="15.75" customHeight="1" x14ac:dyDescent="0.25">
      <c r="A65" s="903" t="s">
        <v>348</v>
      </c>
      <c r="B65" s="903"/>
      <c r="C65" s="903"/>
      <c r="D65" s="205"/>
      <c r="F65"/>
      <c r="Q65" s="18"/>
      <c r="S65" s="18"/>
    </row>
    <row r="66" spans="1:19" ht="15" customHeight="1" x14ac:dyDescent="0.25">
      <c r="A66" s="901" t="s">
        <v>349</v>
      </c>
      <c r="B66" s="898"/>
      <c r="C66" s="899"/>
      <c r="D66" s="638"/>
      <c r="E66" s="414">
        <v>0</v>
      </c>
      <c r="F66" s="426"/>
      <c r="G66" s="414">
        <v>0</v>
      </c>
      <c r="H66" s="426"/>
      <c r="I66" s="425">
        <f>SUM('Development Budget'!$G79:$H79)</f>
        <v>0</v>
      </c>
      <c r="Q66" s="18"/>
      <c r="S66" s="18"/>
    </row>
    <row r="67" spans="1:19" ht="15" customHeight="1" x14ac:dyDescent="0.25">
      <c r="A67" s="901" t="s">
        <v>350</v>
      </c>
      <c r="B67" s="898"/>
      <c r="C67" s="899"/>
      <c r="D67" s="638"/>
      <c r="E67" s="414">
        <v>0</v>
      </c>
      <c r="F67" s="426"/>
      <c r="G67" s="414">
        <v>0</v>
      </c>
      <c r="H67" s="426"/>
      <c r="I67" s="425">
        <f>SUM('Development Budget'!$G80:$H80)</f>
        <v>0</v>
      </c>
      <c r="Q67" s="18"/>
      <c r="S67" s="18"/>
    </row>
    <row r="68" spans="1:19" ht="15" customHeight="1" x14ac:dyDescent="0.25">
      <c r="A68" s="901" t="s">
        <v>351</v>
      </c>
      <c r="B68" s="898"/>
      <c r="C68" s="899"/>
      <c r="D68" s="638"/>
      <c r="E68" s="414">
        <v>0</v>
      </c>
      <c r="F68" s="426"/>
      <c r="G68" s="414">
        <v>0</v>
      </c>
      <c r="H68" s="426"/>
      <c r="I68" s="425">
        <f>SUM('Development Budget'!$G81:$H81)</f>
        <v>0</v>
      </c>
      <c r="Q68" s="18"/>
      <c r="S68" s="18"/>
    </row>
    <row r="69" spans="1:19" ht="15" customHeight="1" x14ac:dyDescent="0.25">
      <c r="A69" s="901" t="s">
        <v>352</v>
      </c>
      <c r="B69" s="898"/>
      <c r="C69" s="899"/>
      <c r="D69" s="638"/>
      <c r="E69" s="256"/>
      <c r="F69" s="421"/>
      <c r="G69" s="256"/>
      <c r="H69" s="421"/>
      <c r="I69" s="256"/>
      <c r="Q69" s="18"/>
      <c r="S69" s="18"/>
    </row>
    <row r="70" spans="1:19" ht="15" customHeight="1" x14ac:dyDescent="0.25">
      <c r="A70" s="901" t="s">
        <v>353</v>
      </c>
      <c r="B70" s="898"/>
      <c r="C70" s="899"/>
      <c r="D70" s="638"/>
      <c r="E70" s="256"/>
      <c r="F70" s="421"/>
      <c r="G70" s="256"/>
      <c r="H70" s="421"/>
      <c r="I70" s="256"/>
      <c r="Q70" s="18"/>
      <c r="S70" s="18"/>
    </row>
    <row r="71" spans="1:19" ht="15" customHeight="1" x14ac:dyDescent="0.25">
      <c r="A71" s="901" t="s">
        <v>354</v>
      </c>
      <c r="B71" s="898"/>
      <c r="C71" s="899"/>
      <c r="D71" s="638"/>
      <c r="E71" s="414">
        <v>0</v>
      </c>
      <c r="F71" s="426"/>
      <c r="G71" s="414">
        <v>0</v>
      </c>
      <c r="H71" s="426"/>
      <c r="I71" s="425">
        <f>SUM('Development Budget'!$G84:$H84)</f>
        <v>0</v>
      </c>
      <c r="Q71" s="18"/>
      <c r="S71" s="18"/>
    </row>
    <row r="72" spans="1:19" ht="15" customHeight="1" x14ac:dyDescent="0.25">
      <c r="A72" s="901" t="s">
        <v>964</v>
      </c>
      <c r="B72" s="898"/>
      <c r="C72" s="899"/>
      <c r="D72" s="638"/>
      <c r="E72" s="414">
        <v>0</v>
      </c>
      <c r="F72" s="426"/>
      <c r="G72" s="414">
        <v>0</v>
      </c>
      <c r="H72" s="426"/>
      <c r="I72" s="425">
        <f>SUM('Development Budget'!$G85:$H85)</f>
        <v>0</v>
      </c>
      <c r="Q72" s="18"/>
      <c r="S72" s="18"/>
    </row>
    <row r="73" spans="1:19" ht="15" customHeight="1" x14ac:dyDescent="0.25">
      <c r="A73" s="905" t="str">
        <f>IF('Development Budget'!A86="","",'Development Budget'!A86)</f>
        <v/>
      </c>
      <c r="B73" s="1085"/>
      <c r="C73" s="1086"/>
      <c r="D73" s="638"/>
      <c r="E73" s="414">
        <v>0</v>
      </c>
      <c r="F73" s="426"/>
      <c r="G73" s="414">
        <v>0</v>
      </c>
      <c r="H73" s="426"/>
      <c r="I73" s="425">
        <f>SUM('Development Budget'!$G86:$H86)</f>
        <v>0</v>
      </c>
      <c r="Q73" s="18"/>
      <c r="S73" s="18"/>
    </row>
    <row r="74" spans="1:19" ht="15" customHeight="1" x14ac:dyDescent="0.25">
      <c r="A74" s="905" t="str">
        <f>IF('Development Budget'!A87="","",'Development Budget'!A87)</f>
        <v/>
      </c>
      <c r="B74" s="1085"/>
      <c r="C74" s="1086"/>
      <c r="D74" s="638"/>
      <c r="E74" s="414">
        <v>0</v>
      </c>
      <c r="F74" s="426"/>
      <c r="G74" s="414">
        <v>0</v>
      </c>
      <c r="H74" s="426"/>
      <c r="I74" s="425">
        <f>SUM('Development Budget'!$G87:$H87)</f>
        <v>0</v>
      </c>
      <c r="Q74" s="18"/>
      <c r="S74" s="18"/>
    </row>
    <row r="75" spans="1:19" ht="15" customHeight="1" x14ac:dyDescent="0.25">
      <c r="A75" s="905" t="str">
        <f>IF('Development Budget'!A88="","",'Development Budget'!A88)</f>
        <v/>
      </c>
      <c r="B75" s="1085"/>
      <c r="C75" s="1086"/>
      <c r="D75" s="638"/>
      <c r="E75" s="414">
        <v>0</v>
      </c>
      <c r="F75" s="426"/>
      <c r="G75" s="414">
        <v>0</v>
      </c>
      <c r="H75" s="426"/>
      <c r="I75" s="425">
        <f>SUM('Development Budget'!$G88:$H88)</f>
        <v>0</v>
      </c>
      <c r="Q75" s="18"/>
      <c r="S75" s="18"/>
    </row>
    <row r="76" spans="1:19" ht="15" customHeight="1" x14ac:dyDescent="0.25">
      <c r="A76" s="908" t="s">
        <v>355</v>
      </c>
      <c r="B76" s="909"/>
      <c r="C76" s="909"/>
      <c r="D76" s="910"/>
      <c r="E76" s="21">
        <f>SUM($E$66:$E$75)</f>
        <v>0</v>
      </c>
      <c r="F76" s="422"/>
      <c r="G76" s="21">
        <f>SUM($G$66:$G$75)</f>
        <v>0</v>
      </c>
      <c r="H76" s="422"/>
      <c r="I76" s="21">
        <f>SUM($I$66:$I$75)</f>
        <v>0</v>
      </c>
      <c r="Q76" s="44"/>
      <c r="S76" s="18"/>
    </row>
    <row r="77" spans="1:19" ht="9.9499999999999993" customHeight="1" x14ac:dyDescent="0.25">
      <c r="A77" s="271"/>
      <c r="B77" s="188"/>
      <c r="C77" s="188"/>
      <c r="D77" s="188"/>
      <c r="F77"/>
      <c r="Q77" s="415"/>
      <c r="S77" s="415"/>
    </row>
    <row r="78" spans="1:19" ht="15" customHeight="1" x14ac:dyDescent="0.25">
      <c r="A78" s="903" t="s">
        <v>359</v>
      </c>
      <c r="B78" s="903"/>
      <c r="C78" s="903"/>
      <c r="D78" s="205"/>
      <c r="F78"/>
      <c r="Q78" s="18"/>
      <c r="S78" s="18"/>
    </row>
    <row r="79" spans="1:19" ht="15" customHeight="1" x14ac:dyDescent="0.25">
      <c r="A79" s="901" t="s">
        <v>360</v>
      </c>
      <c r="B79" s="898"/>
      <c r="C79" s="899"/>
      <c r="D79" s="638"/>
      <c r="E79" s="414">
        <v>0</v>
      </c>
      <c r="F79" s="426"/>
      <c r="G79" s="414">
        <v>0</v>
      </c>
      <c r="H79" s="426"/>
      <c r="I79" s="425">
        <f>SUM('Development Budget'!$G106:$H106)</f>
        <v>0</v>
      </c>
      <c r="Q79" s="18"/>
      <c r="S79" s="18"/>
    </row>
    <row r="80" spans="1:19" ht="15" customHeight="1" x14ac:dyDescent="0.25">
      <c r="A80" s="897" t="s">
        <v>361</v>
      </c>
      <c r="B80" s="898"/>
      <c r="C80" s="899"/>
      <c r="D80" s="638"/>
      <c r="E80" s="414">
        <v>0</v>
      </c>
      <c r="F80" s="426"/>
      <c r="G80" s="414">
        <v>0</v>
      </c>
      <c r="H80" s="426"/>
      <c r="I80" s="425">
        <f>SUM('Development Budget'!$G107:$H107)</f>
        <v>0</v>
      </c>
      <c r="Q80" s="18"/>
      <c r="S80" s="18"/>
    </row>
    <row r="81" spans="1:21" ht="15" customHeight="1" x14ac:dyDescent="0.25">
      <c r="A81" s="897" t="s">
        <v>362</v>
      </c>
      <c r="B81" s="898"/>
      <c r="C81" s="899"/>
      <c r="D81" s="638"/>
      <c r="E81" s="414">
        <v>0</v>
      </c>
      <c r="F81" s="426"/>
      <c r="G81" s="414">
        <v>0</v>
      </c>
      <c r="H81" s="426"/>
      <c r="I81" s="425">
        <f>SUM('Development Budget'!$G108:$H108)</f>
        <v>0</v>
      </c>
      <c r="Q81" s="18"/>
      <c r="S81" s="18"/>
    </row>
    <row r="82" spans="1:21" ht="15" customHeight="1" x14ac:dyDescent="0.25">
      <c r="A82" s="905" t="str">
        <f>IF('Development Budget'!A109="","",'Development Budget'!A109)</f>
        <v/>
      </c>
      <c r="B82" s="1085"/>
      <c r="C82" s="1086"/>
      <c r="D82" s="638"/>
      <c r="E82" s="414">
        <v>0</v>
      </c>
      <c r="F82" s="426"/>
      <c r="G82" s="414">
        <v>0</v>
      </c>
      <c r="H82" s="426"/>
      <c r="I82" s="425">
        <f>SUM('Development Budget'!$G109:$H109)</f>
        <v>0</v>
      </c>
      <c r="Q82" s="18"/>
      <c r="S82" s="18"/>
    </row>
    <row r="83" spans="1:21" ht="15" customHeight="1" x14ac:dyDescent="0.25">
      <c r="A83" s="905" t="str">
        <f>IF('Development Budget'!A110="","",'Development Budget'!A110)</f>
        <v/>
      </c>
      <c r="B83" s="1085"/>
      <c r="C83" s="1086"/>
      <c r="D83" s="638"/>
      <c r="E83" s="414">
        <v>0</v>
      </c>
      <c r="F83" s="426"/>
      <c r="G83" s="414">
        <v>0</v>
      </c>
      <c r="H83" s="426"/>
      <c r="I83" s="425">
        <f>SUM('Development Budget'!$G110:$H110)</f>
        <v>0</v>
      </c>
      <c r="Q83" s="18"/>
      <c r="S83" s="18"/>
    </row>
    <row r="84" spans="1:21" ht="15" customHeight="1" x14ac:dyDescent="0.25">
      <c r="A84" s="908" t="s">
        <v>363</v>
      </c>
      <c r="B84" s="909"/>
      <c r="C84" s="909"/>
      <c r="D84" s="910"/>
      <c r="E84" s="31">
        <f>SUM($E$79:$E$83)</f>
        <v>0</v>
      </c>
      <c r="F84" s="422"/>
      <c r="G84" s="31">
        <f>SUM($G$79:$G$83)</f>
        <v>0</v>
      </c>
      <c r="H84" s="422"/>
      <c r="I84" s="21">
        <f>SUM($I$79:$I$83)</f>
        <v>0</v>
      </c>
      <c r="Q84" s="44"/>
      <c r="S84" s="18"/>
    </row>
    <row r="85" spans="1:21" x14ac:dyDescent="0.25">
      <c r="A85" s="271"/>
      <c r="B85" s="188"/>
      <c r="C85" s="566"/>
      <c r="D85" s="566"/>
      <c r="F85"/>
      <c r="Q85" s="18"/>
      <c r="S85" s="18"/>
    </row>
    <row r="86" spans="1:21" ht="9.9499999999999993" customHeight="1" x14ac:dyDescent="0.25">
      <c r="F86"/>
      <c r="S86" s="2"/>
      <c r="T86" s="251"/>
      <c r="U86" s="2"/>
    </row>
    <row r="87" spans="1:21" ht="18.75" x14ac:dyDescent="0.3">
      <c r="A87" s="923" t="s">
        <v>369</v>
      </c>
      <c r="B87" s="924"/>
      <c r="C87" s="924"/>
      <c r="D87" s="925"/>
      <c r="E87" s="46">
        <f>SUM($E$11,$E$18,$E$35,$E$46,$E$63,$E$76,$E$84)</f>
        <v>0</v>
      </c>
      <c r="F87" s="424"/>
      <c r="G87" s="46">
        <f>SUM($G$11,$G$18,$G$35,$G$46,$G$63,$G$76,$G$84)</f>
        <v>0</v>
      </c>
      <c r="H87" s="424"/>
      <c r="I87" s="46">
        <f>SUM($I$11,$I$18,$I$35,$I$46,$I$63,$I$76,$I$84)</f>
        <v>0</v>
      </c>
      <c r="S87" s="2"/>
      <c r="T87" s="251"/>
      <c r="U87" s="2"/>
    </row>
    <row r="88" spans="1:21" ht="5.0999999999999996" customHeight="1" thickBot="1" x14ac:dyDescent="0.35">
      <c r="A88" s="427"/>
      <c r="B88" s="188"/>
      <c r="C88" s="188"/>
      <c r="D88" s="188"/>
      <c r="E88" s="428"/>
      <c r="F88" s="47"/>
      <c r="G88" s="429"/>
      <c r="H88" s="428"/>
      <c r="I88" s="428"/>
      <c r="S88" s="2"/>
      <c r="T88" s="251"/>
      <c r="U88" s="2"/>
    </row>
    <row r="89" spans="1:21" ht="15" customHeight="1" x14ac:dyDescent="0.25">
      <c r="E89" s="1092" t="str">
        <f>IFERROR($E$87/$I$87,"")</f>
        <v/>
      </c>
      <c r="F89" s="482"/>
      <c r="G89" s="1092" t="str">
        <f>IFERROR($G$87/$I$87,"")</f>
        <v/>
      </c>
      <c r="H89" s="482"/>
      <c r="S89" s="2"/>
      <c r="T89" s="251"/>
      <c r="U89" s="2"/>
    </row>
    <row r="90" spans="1:21" ht="15.75" customHeight="1" x14ac:dyDescent="0.25">
      <c r="E90" s="1093"/>
      <c r="F90" s="482"/>
      <c r="G90" s="1093"/>
      <c r="H90" s="482"/>
      <c r="S90" s="49"/>
      <c r="U90" s="49"/>
    </row>
    <row r="91" spans="1:21" ht="15" customHeight="1" x14ac:dyDescent="0.25">
      <c r="E91" s="1090" t="s">
        <v>968</v>
      </c>
      <c r="G91" s="1090" t="s">
        <v>969</v>
      </c>
    </row>
    <row r="92" spans="1:21" ht="15.75" customHeight="1" thickBot="1" x14ac:dyDescent="0.3">
      <c r="E92" s="1091"/>
      <c r="G92" s="1091"/>
    </row>
    <row r="93" spans="1:21" x14ac:dyDescent="0.25">
      <c r="A93" s="534" t="s">
        <v>1026</v>
      </c>
    </row>
    <row r="94" spans="1:21" x14ac:dyDescent="0.25">
      <c r="A94" s="567">
        <v>1</v>
      </c>
      <c r="B94" s="1084"/>
      <c r="C94" s="1084"/>
      <c r="D94" s="1084"/>
      <c r="E94" s="1084"/>
      <c r="F94" s="1084"/>
      <c r="G94" s="1084"/>
      <c r="H94" s="1084"/>
      <c r="I94" s="1084"/>
    </row>
    <row r="95" spans="1:21" x14ac:dyDescent="0.25">
      <c r="A95" s="567"/>
      <c r="B95" s="1084"/>
      <c r="C95" s="1084"/>
      <c r="D95" s="1084"/>
      <c r="E95" s="1084"/>
      <c r="F95" s="1084"/>
      <c r="G95" s="1084"/>
      <c r="H95" s="1084"/>
      <c r="I95" s="1084"/>
    </row>
    <row r="96" spans="1:21" x14ac:dyDescent="0.25">
      <c r="A96" s="567"/>
      <c r="B96" s="1084"/>
      <c r="C96" s="1084"/>
      <c r="D96" s="1084"/>
      <c r="E96" s="1084"/>
      <c r="F96" s="1084"/>
      <c r="G96" s="1084"/>
      <c r="H96" s="1084"/>
      <c r="I96" s="1084"/>
    </row>
    <row r="97" spans="1:21" x14ac:dyDescent="0.25">
      <c r="A97" s="567"/>
      <c r="B97" s="1084"/>
      <c r="C97" s="1084"/>
      <c r="D97" s="1084"/>
      <c r="E97" s="1084"/>
      <c r="F97" s="1084"/>
      <c r="G97" s="1084"/>
      <c r="H97" s="1084"/>
      <c r="I97" s="1084"/>
    </row>
    <row r="98" spans="1:21" x14ac:dyDescent="0.25">
      <c r="A98" s="567"/>
      <c r="B98" s="1084"/>
      <c r="C98" s="1084"/>
      <c r="D98" s="1084"/>
      <c r="E98" s="1084"/>
      <c r="F98" s="1084"/>
      <c r="G98" s="1084"/>
      <c r="H98" s="1084"/>
      <c r="I98" s="1084"/>
    </row>
    <row r="99" spans="1:21" x14ac:dyDescent="0.25">
      <c r="A99" s="567"/>
      <c r="B99" s="1084"/>
      <c r="C99" s="1084"/>
      <c r="D99" s="1084"/>
      <c r="E99" s="1084"/>
      <c r="F99" s="1084"/>
      <c r="G99" s="1084"/>
      <c r="H99" s="1084"/>
      <c r="I99" s="1084"/>
    </row>
    <row r="100" spans="1:21" x14ac:dyDescent="0.25">
      <c r="A100" s="567"/>
      <c r="B100" s="1084"/>
      <c r="C100" s="1084"/>
      <c r="D100" s="1084"/>
      <c r="E100" s="1084"/>
      <c r="F100" s="1084"/>
      <c r="G100" s="1084"/>
      <c r="H100" s="1084"/>
      <c r="I100" s="1084"/>
    </row>
    <row r="101" spans="1:21" x14ac:dyDescent="0.25">
      <c r="A101" s="567"/>
      <c r="B101" s="1084"/>
      <c r="C101" s="1084"/>
      <c r="D101" s="1084"/>
      <c r="E101" s="1084"/>
      <c r="F101" s="1084"/>
      <c r="G101" s="1084"/>
      <c r="H101" s="1084"/>
      <c r="I101" s="1084"/>
    </row>
    <row r="102" spans="1:21" x14ac:dyDescent="0.25">
      <c r="A102" s="567"/>
      <c r="B102" s="1084"/>
      <c r="C102" s="1084"/>
      <c r="D102" s="1084"/>
      <c r="E102" s="1084"/>
      <c r="F102" s="1084"/>
      <c r="G102" s="1084"/>
      <c r="H102" s="1084"/>
      <c r="I102" s="1084"/>
    </row>
    <row r="103" spans="1:21" x14ac:dyDescent="0.25">
      <c r="A103" s="567"/>
      <c r="B103" s="1084"/>
      <c r="C103" s="1084"/>
      <c r="D103" s="1084"/>
      <c r="E103" s="1084"/>
      <c r="F103" s="1084"/>
      <c r="G103" s="1084"/>
      <c r="H103" s="1084"/>
      <c r="I103" s="1084"/>
    </row>
    <row r="104" spans="1:21" x14ac:dyDescent="0.25">
      <c r="A104" s="567"/>
      <c r="B104" s="1084"/>
      <c r="C104" s="1084"/>
      <c r="D104" s="1084"/>
      <c r="E104" s="1084"/>
      <c r="F104" s="1084"/>
      <c r="G104" s="1084"/>
      <c r="H104" s="1084"/>
      <c r="I104" s="1084"/>
    </row>
    <row r="105" spans="1:21" x14ac:dyDescent="0.25">
      <c r="A105" s="567"/>
      <c r="B105" s="1084"/>
      <c r="C105" s="1084"/>
      <c r="D105" s="1084"/>
      <c r="E105" s="1084"/>
      <c r="F105" s="1084"/>
      <c r="G105" s="1084"/>
      <c r="H105" s="1084"/>
      <c r="I105" s="1084"/>
    </row>
    <row r="106" spans="1:21" x14ac:dyDescent="0.25">
      <c r="A106" s="567"/>
      <c r="B106" s="1084"/>
      <c r="C106" s="1084"/>
      <c r="D106" s="1084"/>
      <c r="E106" s="1084"/>
      <c r="F106" s="1084"/>
      <c r="G106" s="1084"/>
      <c r="H106" s="1084"/>
      <c r="I106" s="1084"/>
    </row>
    <row r="107" spans="1:21" x14ac:dyDescent="0.25">
      <c r="A107" s="567"/>
      <c r="B107" s="1084"/>
      <c r="C107" s="1084"/>
      <c r="D107" s="1084"/>
      <c r="E107" s="1084"/>
      <c r="F107" s="1084"/>
      <c r="G107" s="1084"/>
      <c r="H107" s="1084"/>
      <c r="I107" s="1084"/>
    </row>
    <row r="108" spans="1:21" x14ac:dyDescent="0.25">
      <c r="A108" s="567"/>
      <c r="B108" s="1084"/>
      <c r="C108" s="1084"/>
      <c r="D108" s="1084"/>
      <c r="E108" s="1084"/>
      <c r="F108" s="1084"/>
      <c r="G108" s="1084"/>
      <c r="H108" s="1084"/>
      <c r="I108" s="1084"/>
    </row>
    <row r="109" spans="1:21" x14ac:dyDescent="0.25">
      <c r="A109" s="567"/>
      <c r="B109" s="1084"/>
      <c r="C109" s="1084"/>
      <c r="D109" s="1084"/>
      <c r="E109" s="1084"/>
      <c r="F109" s="1084"/>
      <c r="G109" s="1084"/>
      <c r="H109" s="1084"/>
      <c r="I109" s="1084"/>
    </row>
    <row r="111" spans="1:21" ht="15.75" customHeight="1" x14ac:dyDescent="0.25">
      <c r="A111" s="1094" t="s">
        <v>970</v>
      </c>
      <c r="B111" s="1094"/>
      <c r="C111" s="1094"/>
      <c r="D111" s="1094"/>
      <c r="E111" s="1094"/>
      <c r="F111" s="1094"/>
      <c r="G111" s="1094"/>
      <c r="H111" s="1094"/>
      <c r="I111" s="1094"/>
      <c r="S111" s="244"/>
      <c r="U111" s="244"/>
    </row>
    <row r="112" spans="1:21" ht="15" customHeight="1" x14ac:dyDescent="0.25">
      <c r="A112" s="1094"/>
      <c r="B112" s="1094"/>
      <c r="C112" s="1094"/>
      <c r="D112" s="1094"/>
      <c r="E112" s="1094"/>
      <c r="F112" s="1094"/>
      <c r="G112" s="1094"/>
      <c r="H112" s="1094"/>
      <c r="I112" s="1094"/>
      <c r="S112" s="2"/>
      <c r="U112" s="2"/>
    </row>
    <row r="113" spans="1:21" ht="15" customHeight="1" x14ac:dyDescent="0.25">
      <c r="A113" s="1094"/>
      <c r="B113" s="1094"/>
      <c r="C113" s="1094"/>
      <c r="D113" s="1094"/>
      <c r="E113" s="1094"/>
      <c r="F113" s="1094"/>
      <c r="G113" s="1094"/>
      <c r="H113" s="1094"/>
      <c r="I113" s="1094"/>
      <c r="S113" s="2"/>
      <c r="U113" s="2"/>
    </row>
    <row r="114" spans="1:21" ht="15" customHeight="1" x14ac:dyDescent="0.25">
      <c r="A114" s="1094"/>
      <c r="B114" s="1094"/>
      <c r="C114" s="1094"/>
      <c r="D114" s="1094"/>
      <c r="E114" s="1094"/>
      <c r="F114" s="1094"/>
      <c r="G114" s="1094"/>
      <c r="H114" s="1094"/>
      <c r="I114" s="1094"/>
      <c r="S114" s="2"/>
      <c r="U114" s="2"/>
    </row>
    <row r="115" spans="1:21" x14ac:dyDescent="0.25">
      <c r="S115" s="2"/>
      <c r="U115" s="2"/>
    </row>
    <row r="116" spans="1:21" ht="15" customHeight="1" x14ac:dyDescent="0.25">
      <c r="A116" s="1094" t="s">
        <v>763</v>
      </c>
      <c r="B116" s="1094"/>
      <c r="C116" s="1094"/>
      <c r="D116" s="1094"/>
      <c r="E116" s="1094"/>
      <c r="F116" s="1094"/>
      <c r="G116" s="1094"/>
      <c r="H116" s="1094"/>
      <c r="I116" s="1094"/>
      <c r="S116" s="2"/>
      <c r="U116" s="2"/>
    </row>
    <row r="117" spans="1:21" ht="15.75" customHeight="1" x14ac:dyDescent="0.25">
      <c r="A117" s="1094"/>
      <c r="B117" s="1094"/>
      <c r="C117" s="1094"/>
      <c r="D117" s="1094"/>
      <c r="E117" s="1094"/>
      <c r="F117" s="1094"/>
      <c r="G117" s="1094"/>
      <c r="H117" s="1094"/>
      <c r="I117" s="1094"/>
      <c r="S117" s="244"/>
      <c r="U117" s="244"/>
    </row>
    <row r="118" spans="1:21" ht="15.75" customHeight="1" x14ac:dyDescent="0.25">
      <c r="A118" s="1094"/>
      <c r="B118" s="1094"/>
      <c r="C118" s="1094"/>
      <c r="D118" s="1094"/>
      <c r="E118" s="1094"/>
      <c r="F118" s="1094"/>
      <c r="G118" s="1094"/>
      <c r="H118" s="1094"/>
      <c r="I118" s="1094"/>
      <c r="S118" s="244"/>
      <c r="U118" s="244"/>
    </row>
    <row r="119" spans="1:21" ht="15.75" customHeight="1" x14ac:dyDescent="0.25">
      <c r="A119" s="1094"/>
      <c r="B119" s="1094"/>
      <c r="C119" s="1094"/>
      <c r="D119" s="1094"/>
      <c r="E119" s="1094"/>
      <c r="F119" s="1094"/>
      <c r="G119" s="1094"/>
      <c r="H119" s="1094"/>
      <c r="I119" s="1094"/>
      <c r="S119" s="244"/>
      <c r="U119" s="244"/>
    </row>
    <row r="120" spans="1:21" ht="15.75" x14ac:dyDescent="0.25">
      <c r="S120" s="244"/>
      <c r="U120" s="244"/>
    </row>
    <row r="121" spans="1:21" ht="15.75" customHeight="1" x14ac:dyDescent="0.25">
      <c r="A121" s="646"/>
      <c r="B121" s="646"/>
      <c r="C121" s="646"/>
      <c r="D121" s="646"/>
      <c r="E121" s="646"/>
      <c r="F121" s="646"/>
      <c r="G121" s="1088"/>
      <c r="H121" s="1088"/>
      <c r="I121" s="1088"/>
      <c r="S121" s="244"/>
      <c r="U121" s="244"/>
    </row>
    <row r="122" spans="1:21" ht="16.5" customHeight="1" thickBot="1" x14ac:dyDescent="0.3">
      <c r="A122" s="1096"/>
      <c r="B122" s="1096"/>
      <c r="C122" s="1096"/>
      <c r="D122" s="1096"/>
      <c r="E122" s="1096"/>
      <c r="F122" s="1096"/>
      <c r="G122" s="1089"/>
      <c r="H122" s="1089"/>
      <c r="I122" s="1089"/>
      <c r="S122" s="244"/>
      <c r="U122" s="244"/>
    </row>
    <row r="123" spans="1:21" ht="20.100000000000001" customHeight="1" x14ac:dyDescent="0.35">
      <c r="A123" s="1095" t="s">
        <v>877</v>
      </c>
      <c r="B123" s="1095"/>
      <c r="C123" s="1095"/>
      <c r="D123" s="1095"/>
      <c r="E123" s="1095"/>
      <c r="F123" s="1095"/>
      <c r="G123" s="1087" t="s">
        <v>764</v>
      </c>
      <c r="H123" s="1087"/>
      <c r="I123" s="1087"/>
      <c r="S123" s="244"/>
      <c r="U123" s="244"/>
    </row>
    <row r="124" spans="1:21" ht="15.75" customHeight="1" x14ac:dyDescent="0.25">
      <c r="A124" s="479"/>
      <c r="B124" s="479"/>
      <c r="C124" s="479"/>
      <c r="D124" s="479"/>
      <c r="E124" s="479"/>
      <c r="F124" s="479"/>
      <c r="G124" s="479"/>
      <c r="H124" s="478"/>
      <c r="I124" s="478"/>
      <c r="S124" s="244"/>
      <c r="U124" s="244"/>
    </row>
    <row r="125" spans="1:21" ht="15.75" x14ac:dyDescent="0.25">
      <c r="S125" s="244"/>
      <c r="U125" s="244"/>
    </row>
    <row r="126" spans="1:21" ht="15.75" x14ac:dyDescent="0.25">
      <c r="S126" s="244"/>
      <c r="U126" s="244"/>
    </row>
    <row r="127" spans="1:21" ht="15.75" x14ac:dyDescent="0.25">
      <c r="S127" s="244"/>
      <c r="U127" s="244"/>
    </row>
    <row r="128" spans="1:21" ht="15.75" x14ac:dyDescent="0.25">
      <c r="S128" s="244"/>
      <c r="U128" s="244"/>
    </row>
    <row r="129" spans="19:21" ht="15.75" x14ac:dyDescent="0.25">
      <c r="S129" s="244"/>
      <c r="U129" s="244"/>
    </row>
    <row r="130" spans="19:21" ht="15.75" x14ac:dyDescent="0.25">
      <c r="S130" s="244"/>
      <c r="U130" s="244"/>
    </row>
    <row r="131" spans="19:21" ht="15.75" x14ac:dyDescent="0.25">
      <c r="S131" s="244"/>
      <c r="U131" s="244"/>
    </row>
    <row r="132" spans="19:21" ht="15.75" x14ac:dyDescent="0.25">
      <c r="S132" s="244"/>
      <c r="U132" s="244"/>
    </row>
    <row r="133" spans="19:21" ht="15.75" x14ac:dyDescent="0.25">
      <c r="S133" s="244"/>
      <c r="U133" s="244"/>
    </row>
  </sheetData>
  <sheetProtection algorithmName="SHA-512" hashValue="79d2xBD/p4c8SZu6LpNo/Xegh4fBIhp6VxVIWbW5hnJ1Tr1aFgti24218Mo+jFH6MuqIDPhHDV4OXeWxvXBymA==" saltValue="3e1RPMD4AmHR9n1dhDz0Jw==" spinCount="100000" sheet="1" objects="1" scenarios="1"/>
  <mergeCells count="104">
    <mergeCell ref="A42:C42"/>
    <mergeCell ref="A7:C7"/>
    <mergeCell ref="A1:I1"/>
    <mergeCell ref="A3:I3"/>
    <mergeCell ref="G2:H2"/>
    <mergeCell ref="B2:F2"/>
    <mergeCell ref="A21:C21"/>
    <mergeCell ref="A8:C8"/>
    <mergeCell ref="A9:C9"/>
    <mergeCell ref="A10:C10"/>
    <mergeCell ref="A13:C13"/>
    <mergeCell ref="A14:C14"/>
    <mergeCell ref="A15:C15"/>
    <mergeCell ref="A16:C16"/>
    <mergeCell ref="A17:C17"/>
    <mergeCell ref="A20:C20"/>
    <mergeCell ref="D5:D6"/>
    <mergeCell ref="A11:D11"/>
    <mergeCell ref="A18:D18"/>
    <mergeCell ref="A60:C60"/>
    <mergeCell ref="A49:C49"/>
    <mergeCell ref="A50:C50"/>
    <mergeCell ref="A51:C51"/>
    <mergeCell ref="A52:C52"/>
    <mergeCell ref="A53:C53"/>
    <mergeCell ref="A33:C33"/>
    <mergeCell ref="A22:C22"/>
    <mergeCell ref="A23:C23"/>
    <mergeCell ref="A27:B27"/>
    <mergeCell ref="A26:C26"/>
    <mergeCell ref="A25:C25"/>
    <mergeCell ref="A24:C24"/>
    <mergeCell ref="A28:C28"/>
    <mergeCell ref="A29:C29"/>
    <mergeCell ref="A30:C30"/>
    <mergeCell ref="A31:C31"/>
    <mergeCell ref="A32:C32"/>
    <mergeCell ref="A34:C34"/>
    <mergeCell ref="A37:C37"/>
    <mergeCell ref="A38:C38"/>
    <mergeCell ref="A39:C39"/>
    <mergeCell ref="A40:C40"/>
    <mergeCell ref="A41:C41"/>
    <mergeCell ref="A67:C67"/>
    <mergeCell ref="A43:C43"/>
    <mergeCell ref="A44:C44"/>
    <mergeCell ref="A45:C45"/>
    <mergeCell ref="G123:I123"/>
    <mergeCell ref="G121:I122"/>
    <mergeCell ref="A78:C78"/>
    <mergeCell ref="A79:C79"/>
    <mergeCell ref="A80:C80"/>
    <mergeCell ref="G91:G92"/>
    <mergeCell ref="E89:E90"/>
    <mergeCell ref="G89:G90"/>
    <mergeCell ref="E91:E92"/>
    <mergeCell ref="A116:I119"/>
    <mergeCell ref="A111:I114"/>
    <mergeCell ref="A123:F123"/>
    <mergeCell ref="A121:F122"/>
    <mergeCell ref="A83:C83"/>
    <mergeCell ref="A82:C82"/>
    <mergeCell ref="B108:I108"/>
    <mergeCell ref="B109:I109"/>
    <mergeCell ref="A48:C48"/>
    <mergeCell ref="A72:C72"/>
    <mergeCell ref="A74:C74"/>
    <mergeCell ref="A70:C70"/>
    <mergeCell ref="A71:C71"/>
    <mergeCell ref="A35:D35"/>
    <mergeCell ref="A46:D46"/>
    <mergeCell ref="A63:D63"/>
    <mergeCell ref="A76:D76"/>
    <mergeCell ref="A87:D87"/>
    <mergeCell ref="A84:D84"/>
    <mergeCell ref="B106:I106"/>
    <mergeCell ref="A54:C54"/>
    <mergeCell ref="A81:C81"/>
    <mergeCell ref="A75:C75"/>
    <mergeCell ref="A73:C73"/>
    <mergeCell ref="A58:C58"/>
    <mergeCell ref="A59:C59"/>
    <mergeCell ref="A61:C61"/>
    <mergeCell ref="A62:C62"/>
    <mergeCell ref="A68:C68"/>
    <mergeCell ref="A55:C55"/>
    <mergeCell ref="A56:C56"/>
    <mergeCell ref="A57:C57"/>
    <mergeCell ref="A69:C69"/>
    <mergeCell ref="A65:C65"/>
    <mergeCell ref="A66:C66"/>
    <mergeCell ref="B107:I107"/>
    <mergeCell ref="B94:I94"/>
    <mergeCell ref="B95:I95"/>
    <mergeCell ref="B96:I96"/>
    <mergeCell ref="B97:I97"/>
    <mergeCell ref="B98:I98"/>
    <mergeCell ref="B104:I104"/>
    <mergeCell ref="B99:I99"/>
    <mergeCell ref="B100:I100"/>
    <mergeCell ref="B101:I101"/>
    <mergeCell ref="B102:I102"/>
    <mergeCell ref="B103:I103"/>
    <mergeCell ref="B105:I105"/>
  </mergeCells>
  <printOptions horizontalCentered="1"/>
  <pageMargins left="0.25" right="0.25" top="1" bottom="0.25" header="0.3" footer="0.3"/>
  <pageSetup scale="70" fitToHeight="2" orientation="portrait" horizontalDpi="1200" r:id="rId1"/>
  <headerFooter>
    <oddFooter>&amp;C&amp;14Page &amp;P of &amp;N</oddFooter>
  </headerFooter>
  <rowBreaks count="1" manualBreakCount="1">
    <brk id="64" max="7"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942EF-960C-4D87-8E1F-321971494876}">
  <dimension ref="A1:AI272"/>
  <sheetViews>
    <sheetView zoomScale="85" zoomScaleNormal="85" workbookViewId="0">
      <selection activeCell="B9" sqref="B9"/>
    </sheetView>
  </sheetViews>
  <sheetFormatPr defaultRowHeight="15" x14ac:dyDescent="0.25"/>
  <cols>
    <col min="1" max="1" width="14.7109375" customWidth="1"/>
    <col min="2" max="2" width="8.7109375" customWidth="1"/>
    <col min="3" max="3" width="24.85546875" bestFit="1" customWidth="1"/>
    <col min="4" max="4" width="9.7109375" bestFit="1" customWidth="1"/>
    <col min="5" max="5" width="6.42578125" bestFit="1" customWidth="1"/>
    <col min="6" max="6" width="10.7109375" bestFit="1" customWidth="1"/>
    <col min="7" max="7" width="6.42578125" bestFit="1" customWidth="1"/>
    <col min="8" max="8" width="13.28515625" customWidth="1"/>
    <col min="9" max="9" width="6.5703125" bestFit="1" customWidth="1"/>
    <col min="10" max="10" width="10.5703125" bestFit="1" customWidth="1"/>
    <col min="11" max="11" width="20.7109375" customWidth="1"/>
    <col min="16" max="16" width="11" customWidth="1"/>
    <col min="17" max="17" width="15.7109375" customWidth="1"/>
    <col min="18" max="18" width="5.7109375" customWidth="1"/>
    <col min="19" max="19" width="14.7109375" customWidth="1"/>
    <col min="20" max="20" width="8.7109375" customWidth="1"/>
    <col min="21" max="21" width="24.85546875" bestFit="1" customWidth="1"/>
    <col min="22" max="22" width="9.7109375" bestFit="1" customWidth="1"/>
    <col min="23" max="23" width="6.42578125" bestFit="1" customWidth="1"/>
    <col min="24" max="24" width="10.7109375" bestFit="1" customWidth="1"/>
    <col min="25" max="25" width="6.42578125" bestFit="1" customWidth="1"/>
    <col min="26" max="26" width="13.28515625" customWidth="1"/>
    <col min="27" max="27" width="6.5703125" bestFit="1" customWidth="1"/>
    <col min="28" max="28" width="10.5703125" bestFit="1" customWidth="1"/>
    <col min="29" max="29" width="20.7109375" customWidth="1"/>
    <col min="34" max="34" width="11" customWidth="1"/>
    <col min="35" max="35" width="15.7109375" customWidth="1"/>
  </cols>
  <sheetData>
    <row r="1" spans="1:34" ht="18.75" x14ac:dyDescent="0.3">
      <c r="A1" s="805" t="s">
        <v>981</v>
      </c>
      <c r="B1" s="805"/>
      <c r="C1" s="805"/>
      <c r="D1" s="805"/>
      <c r="E1" s="805"/>
      <c r="F1" s="805"/>
      <c r="G1" s="805"/>
      <c r="H1" s="805"/>
      <c r="I1" s="805"/>
      <c r="J1" s="805"/>
      <c r="K1" s="805"/>
      <c r="S1" s="805" t="s">
        <v>984</v>
      </c>
      <c r="T1" s="805"/>
      <c r="U1" s="805"/>
      <c r="V1" s="805"/>
      <c r="W1" s="805"/>
      <c r="X1" s="805"/>
      <c r="Y1" s="805"/>
      <c r="Z1" s="805"/>
      <c r="AA1" s="805"/>
      <c r="AB1" s="805"/>
      <c r="AC1" s="805"/>
    </row>
    <row r="2" spans="1:34" x14ac:dyDescent="0.25">
      <c r="A2" s="253" t="s">
        <v>13</v>
      </c>
      <c r="B2" s="1137" t="str">
        <f>IF('Project Summary'!$C$8="","",'Project Summary'!$C$8)</f>
        <v/>
      </c>
      <c r="C2" s="1137"/>
      <c r="D2" s="1137"/>
      <c r="E2" s="1137"/>
      <c r="F2" s="1137"/>
      <c r="G2" s="1137"/>
      <c r="H2" s="1137"/>
      <c r="I2" s="1138"/>
      <c r="J2" s="1101" t="s">
        <v>11</v>
      </c>
      <c r="K2" s="1101"/>
      <c r="S2" s="253" t="s">
        <v>13</v>
      </c>
      <c r="T2" s="1137" t="str">
        <f>IF('Project Summary'!$C$8="","",'Project Summary'!$C$8)</f>
        <v/>
      </c>
      <c r="U2" s="1137"/>
      <c r="V2" s="1137"/>
      <c r="W2" s="1137"/>
      <c r="X2" s="1137"/>
      <c r="Y2" s="1137"/>
      <c r="Z2" s="1137"/>
      <c r="AA2" s="1138"/>
      <c r="AB2" s="1101" t="s">
        <v>11</v>
      </c>
      <c r="AC2" s="1101"/>
    </row>
    <row r="3" spans="1:34" x14ac:dyDescent="0.25">
      <c r="A3" s="253" t="s">
        <v>790</v>
      </c>
      <c r="B3" s="1137" t="str">
        <f>IF('Project Summary'!$C$11="","",'Project Summary'!$C$11)</f>
        <v/>
      </c>
      <c r="C3" s="1137"/>
      <c r="D3" s="1137"/>
      <c r="E3" s="1137"/>
      <c r="F3" s="1137"/>
      <c r="G3" s="1137"/>
      <c r="H3" s="1137"/>
      <c r="I3" s="1138"/>
      <c r="J3" s="1139" t="str">
        <f>IF('Project Summary'!$C$5&lt;1,"",'Project Summary'!$C$5)</f>
        <v/>
      </c>
      <c r="K3" s="1139"/>
      <c r="S3" s="253" t="s">
        <v>790</v>
      </c>
      <c r="T3" s="1137" t="str">
        <f>IF('Project Summary'!$C$11="","",'Project Summary'!$C$11)</f>
        <v/>
      </c>
      <c r="U3" s="1137"/>
      <c r="V3" s="1137"/>
      <c r="W3" s="1137"/>
      <c r="X3" s="1137"/>
      <c r="Y3" s="1137"/>
      <c r="Z3" s="1137"/>
      <c r="AA3" s="1138"/>
      <c r="AB3" s="1139" t="str">
        <f>IF('Project Summary'!$C$5&lt;1,"",'Project Summary'!$C$5)</f>
        <v/>
      </c>
      <c r="AC3" s="1139"/>
    </row>
    <row r="4" spans="1:34" x14ac:dyDescent="0.25">
      <c r="A4" s="253" t="s">
        <v>483</v>
      </c>
      <c r="B4" s="1137" t="str">
        <f>IF('Project Summary'!$C$12="","",'Project Summary'!$C$12)</f>
        <v/>
      </c>
      <c r="C4" s="1137"/>
      <c r="D4" s="1137"/>
      <c r="E4" s="1137"/>
      <c r="F4" s="1138"/>
      <c r="G4" s="253" t="s">
        <v>484</v>
      </c>
      <c r="H4" s="974" t="str">
        <f>'Project Summary'!$I$12</f>
        <v>ND</v>
      </c>
      <c r="I4" s="975"/>
      <c r="J4" s="253" t="s">
        <v>482</v>
      </c>
      <c r="K4" s="488" t="str">
        <f>IF('Project Summary'!$K$12="","",'Project Summary'!$K$12)</f>
        <v/>
      </c>
      <c r="P4" s="319"/>
      <c r="S4" s="253" t="s">
        <v>483</v>
      </c>
      <c r="T4" s="1137" t="str">
        <f>IF('Project Summary'!$C$12="","",'Project Summary'!$C$12)</f>
        <v/>
      </c>
      <c r="U4" s="1137"/>
      <c r="V4" s="1137"/>
      <c r="W4" s="1137"/>
      <c r="X4" s="1138"/>
      <c r="Y4" s="253" t="s">
        <v>484</v>
      </c>
      <c r="Z4" s="974" t="str">
        <f>'Project Summary'!$I$12</f>
        <v>ND</v>
      </c>
      <c r="AA4" s="975"/>
      <c r="AB4" s="253" t="s">
        <v>482</v>
      </c>
      <c r="AC4" s="488" t="str">
        <f>IF('Project Summary'!$K$12="","",'Project Summary'!$K$12)</f>
        <v/>
      </c>
      <c r="AH4" s="319"/>
    </row>
    <row r="5" spans="1:34" ht="7.5" customHeight="1" x14ac:dyDescent="0.25"/>
    <row r="6" spans="1:34" ht="19.5" thickBot="1" x14ac:dyDescent="0.35">
      <c r="A6" s="1140" t="s">
        <v>807</v>
      </c>
      <c r="B6" s="1140"/>
      <c r="C6" s="1140"/>
      <c r="D6" s="1140"/>
      <c r="E6" s="1140"/>
      <c r="F6" s="1140"/>
      <c r="G6" s="805"/>
      <c r="H6" s="805"/>
      <c r="I6" s="805"/>
      <c r="J6" s="805"/>
      <c r="K6" s="1140"/>
      <c r="S6" s="1140" t="s">
        <v>807</v>
      </c>
      <c r="T6" s="1140"/>
      <c r="U6" s="1140"/>
      <c r="V6" s="1140"/>
      <c r="W6" s="1140"/>
      <c r="X6" s="1140"/>
      <c r="Y6" s="805"/>
      <c r="Z6" s="805"/>
      <c r="AA6" s="805"/>
      <c r="AB6" s="805"/>
      <c r="AC6" s="1140"/>
    </row>
    <row r="7" spans="1:34" ht="15" customHeight="1" x14ac:dyDescent="0.25">
      <c r="A7" s="444"/>
      <c r="B7" s="444"/>
      <c r="C7" s="444"/>
      <c r="D7" s="444"/>
      <c r="E7" s="444"/>
      <c r="F7" s="444"/>
      <c r="G7" s="1141" t="s">
        <v>808</v>
      </c>
      <c r="H7" s="1142"/>
      <c r="I7" s="1142"/>
      <c r="J7" s="1143"/>
      <c r="K7" s="1144" t="s">
        <v>847</v>
      </c>
      <c r="S7" s="444"/>
      <c r="T7" s="444"/>
      <c r="U7" s="444"/>
      <c r="V7" s="444"/>
      <c r="W7" s="444"/>
      <c r="X7" s="444"/>
      <c r="Y7" s="1141" t="s">
        <v>808</v>
      </c>
      <c r="Z7" s="1142"/>
      <c r="AA7" s="1142"/>
      <c r="AB7" s="1143"/>
      <c r="AC7" s="1144" t="s">
        <v>847</v>
      </c>
    </row>
    <row r="8" spans="1:34" ht="30" x14ac:dyDescent="0.25">
      <c r="A8" s="445" t="s">
        <v>488</v>
      </c>
      <c r="B8" s="445" t="s">
        <v>825</v>
      </c>
      <c r="C8" s="445" t="s">
        <v>848</v>
      </c>
      <c r="D8" s="445" t="s">
        <v>770</v>
      </c>
      <c r="E8" s="445" t="s">
        <v>771</v>
      </c>
      <c r="F8" s="446" t="s">
        <v>826</v>
      </c>
      <c r="G8" s="447" t="s">
        <v>772</v>
      </c>
      <c r="H8" s="445" t="s">
        <v>773</v>
      </c>
      <c r="I8" s="445" t="s">
        <v>774</v>
      </c>
      <c r="J8" s="448" t="s">
        <v>775</v>
      </c>
      <c r="K8" s="1145"/>
      <c r="S8" s="445" t="s">
        <v>488</v>
      </c>
      <c r="T8" s="445" t="s">
        <v>825</v>
      </c>
      <c r="U8" s="445" t="s">
        <v>848</v>
      </c>
      <c r="V8" s="445" t="s">
        <v>770</v>
      </c>
      <c r="W8" s="445" t="s">
        <v>771</v>
      </c>
      <c r="X8" s="446" t="s">
        <v>826</v>
      </c>
      <c r="Y8" s="447" t="s">
        <v>772</v>
      </c>
      <c r="Z8" s="445" t="s">
        <v>773</v>
      </c>
      <c r="AA8" s="445" t="s">
        <v>774</v>
      </c>
      <c r="AB8" s="448" t="s">
        <v>775</v>
      </c>
      <c r="AC8" s="1145"/>
    </row>
    <row r="9" spans="1:34" x14ac:dyDescent="0.25">
      <c r="A9" s="194" t="s">
        <v>776</v>
      </c>
      <c r="B9" s="29"/>
      <c r="C9" s="435"/>
      <c r="D9" s="89"/>
      <c r="E9" s="443"/>
      <c r="F9" s="473"/>
      <c r="G9" s="50"/>
      <c r="H9" s="29"/>
      <c r="I9" s="29"/>
      <c r="J9" s="438"/>
      <c r="K9" s="437" t="str">
        <f t="shared" ref="K9:K15" si="0">IF(B9="","",IF(AND(H9="Yes",I9="Yes",J9="Yes"),"Yes","No"))</f>
        <v/>
      </c>
      <c r="S9" s="194" t="s">
        <v>776</v>
      </c>
      <c r="T9" s="29"/>
      <c r="U9" s="435"/>
      <c r="V9" s="89"/>
      <c r="W9" s="443"/>
      <c r="X9" s="473"/>
      <c r="Y9" s="50"/>
      <c r="Z9" s="29"/>
      <c r="AA9" s="29"/>
      <c r="AB9" s="438"/>
      <c r="AC9" s="437" t="str">
        <f>IF(T9="","",IF(AND(Z9="Yes",AA9="Yes",AB9="Yes"),"Yes","No"))</f>
        <v/>
      </c>
    </row>
    <row r="10" spans="1:34" x14ac:dyDescent="0.25">
      <c r="A10" s="194" t="s">
        <v>777</v>
      </c>
      <c r="B10" s="29"/>
      <c r="C10" s="436"/>
      <c r="D10" s="29"/>
      <c r="E10" s="443"/>
      <c r="F10" s="473"/>
      <c r="G10" s="50"/>
      <c r="H10" s="29"/>
      <c r="I10" s="29"/>
      <c r="J10" s="438"/>
      <c r="K10" s="437" t="str">
        <f t="shared" si="0"/>
        <v/>
      </c>
      <c r="S10" s="194" t="s">
        <v>777</v>
      </c>
      <c r="T10" s="29"/>
      <c r="U10" s="436"/>
      <c r="V10" s="29"/>
      <c r="W10" s="443"/>
      <c r="X10" s="473"/>
      <c r="Y10" s="50"/>
      <c r="Z10" s="29"/>
      <c r="AA10" s="29"/>
      <c r="AB10" s="438"/>
      <c r="AC10" s="437" t="str">
        <f t="shared" ref="AC10:AC34" si="1">IF(T10="","",IF(AND(Z10="Yes",AA10="Yes",AB10="Yes"),"Yes","No"))</f>
        <v/>
      </c>
    </row>
    <row r="11" spans="1:34" x14ac:dyDescent="0.25">
      <c r="A11" s="194" t="s">
        <v>778</v>
      </c>
      <c r="B11" s="29"/>
      <c r="C11" s="436"/>
      <c r="D11" s="29"/>
      <c r="E11" s="443"/>
      <c r="F11" s="473"/>
      <c r="G11" s="50"/>
      <c r="H11" s="29"/>
      <c r="I11" s="29"/>
      <c r="J11" s="438"/>
      <c r="K11" s="437" t="str">
        <f t="shared" si="0"/>
        <v/>
      </c>
      <c r="S11" s="194" t="s">
        <v>778</v>
      </c>
      <c r="T11" s="29"/>
      <c r="U11" s="436"/>
      <c r="V11" s="29"/>
      <c r="W11" s="443"/>
      <c r="X11" s="473"/>
      <c r="Y11" s="50"/>
      <c r="Z11" s="29"/>
      <c r="AA11" s="29"/>
      <c r="AB11" s="438"/>
      <c r="AC11" s="437" t="str">
        <f t="shared" si="1"/>
        <v/>
      </c>
    </row>
    <row r="12" spans="1:34" x14ac:dyDescent="0.25">
      <c r="A12" s="194" t="s">
        <v>779</v>
      </c>
      <c r="B12" s="29"/>
      <c r="C12" s="435"/>
      <c r="D12" s="29"/>
      <c r="E12" s="443"/>
      <c r="F12" s="473"/>
      <c r="G12" s="50"/>
      <c r="H12" s="29"/>
      <c r="I12" s="29"/>
      <c r="J12" s="438"/>
      <c r="K12" s="437" t="str">
        <f t="shared" si="0"/>
        <v/>
      </c>
      <c r="S12" s="194" t="s">
        <v>779</v>
      </c>
      <c r="T12" s="29"/>
      <c r="U12" s="435"/>
      <c r="V12" s="29"/>
      <c r="W12" s="443"/>
      <c r="X12" s="473"/>
      <c r="Y12" s="50"/>
      <c r="Z12" s="29"/>
      <c r="AA12" s="29"/>
      <c r="AB12" s="438"/>
      <c r="AC12" s="437" t="str">
        <f t="shared" si="1"/>
        <v/>
      </c>
    </row>
    <row r="13" spans="1:34" x14ac:dyDescent="0.25">
      <c r="A13" s="194" t="s">
        <v>780</v>
      </c>
      <c r="B13" s="29"/>
      <c r="C13" s="436"/>
      <c r="D13" s="29"/>
      <c r="E13" s="443"/>
      <c r="F13" s="473"/>
      <c r="G13" s="50"/>
      <c r="H13" s="29"/>
      <c r="I13" s="29"/>
      <c r="J13" s="438"/>
      <c r="K13" s="437" t="str">
        <f t="shared" si="0"/>
        <v/>
      </c>
      <c r="S13" s="194" t="s">
        <v>780</v>
      </c>
      <c r="T13" s="29"/>
      <c r="U13" s="436"/>
      <c r="V13" s="29"/>
      <c r="W13" s="443"/>
      <c r="X13" s="473"/>
      <c r="Y13" s="50"/>
      <c r="Z13" s="29"/>
      <c r="AA13" s="29"/>
      <c r="AB13" s="438"/>
      <c r="AC13" s="437" t="str">
        <f t="shared" si="1"/>
        <v/>
      </c>
    </row>
    <row r="14" spans="1:34" x14ac:dyDescent="0.25">
      <c r="A14" s="194" t="s">
        <v>781</v>
      </c>
      <c r="B14" s="29"/>
      <c r="C14" s="436"/>
      <c r="D14" s="29"/>
      <c r="E14" s="443"/>
      <c r="F14" s="473"/>
      <c r="G14" s="50"/>
      <c r="H14" s="29"/>
      <c r="I14" s="29"/>
      <c r="J14" s="438"/>
      <c r="K14" s="437" t="str">
        <f t="shared" si="0"/>
        <v/>
      </c>
      <c r="S14" s="194" t="s">
        <v>781</v>
      </c>
      <c r="T14" s="29"/>
      <c r="U14" s="436"/>
      <c r="V14" s="29"/>
      <c r="W14" s="443"/>
      <c r="X14" s="473"/>
      <c r="Y14" s="50"/>
      <c r="Z14" s="29"/>
      <c r="AA14" s="29"/>
      <c r="AB14" s="438"/>
      <c r="AC14" s="437" t="str">
        <f t="shared" si="1"/>
        <v/>
      </c>
    </row>
    <row r="15" spans="1:34" x14ac:dyDescent="0.25">
      <c r="A15" s="194" t="s">
        <v>782</v>
      </c>
      <c r="B15" s="29"/>
      <c r="C15" s="436"/>
      <c r="D15" s="29"/>
      <c r="E15" s="443"/>
      <c r="F15" s="473"/>
      <c r="G15" s="50"/>
      <c r="H15" s="29"/>
      <c r="I15" s="29"/>
      <c r="J15" s="438"/>
      <c r="K15" s="437" t="str">
        <f t="shared" si="0"/>
        <v/>
      </c>
      <c r="S15" s="194" t="s">
        <v>782</v>
      </c>
      <c r="T15" s="29"/>
      <c r="U15" s="436"/>
      <c r="V15" s="29"/>
      <c r="W15" s="443"/>
      <c r="X15" s="473"/>
      <c r="Y15" s="50"/>
      <c r="Z15" s="29"/>
      <c r="AA15" s="29"/>
      <c r="AB15" s="438"/>
      <c r="AC15" s="437" t="str">
        <f t="shared" si="1"/>
        <v/>
      </c>
    </row>
    <row r="16" spans="1:34" x14ac:dyDescent="0.25">
      <c r="A16" s="194" t="s">
        <v>783</v>
      </c>
      <c r="B16" s="29"/>
      <c r="C16" s="436"/>
      <c r="D16" s="29"/>
      <c r="E16" s="443"/>
      <c r="F16" s="473"/>
      <c r="G16" s="50"/>
      <c r="H16" s="29"/>
      <c r="I16" s="29"/>
      <c r="J16" s="438"/>
      <c r="K16" s="437" t="str">
        <f t="shared" ref="K16:K34" si="2">IF(B16="","",IF(AND(H16="Yes",I16="Yes",J16="Yes"),"Yes","No"))</f>
        <v/>
      </c>
      <c r="S16" s="194" t="s">
        <v>783</v>
      </c>
      <c r="T16" s="29"/>
      <c r="U16" s="436"/>
      <c r="V16" s="29"/>
      <c r="W16" s="443"/>
      <c r="X16" s="473"/>
      <c r="Y16" s="50"/>
      <c r="Z16" s="29"/>
      <c r="AA16" s="29"/>
      <c r="AB16" s="438"/>
      <c r="AC16" s="437" t="str">
        <f t="shared" si="1"/>
        <v/>
      </c>
    </row>
    <row r="17" spans="1:29" x14ac:dyDescent="0.25">
      <c r="A17" s="194" t="s">
        <v>789</v>
      </c>
      <c r="B17" s="29"/>
      <c r="C17" s="436"/>
      <c r="D17" s="29"/>
      <c r="E17" s="443"/>
      <c r="F17" s="473"/>
      <c r="G17" s="50"/>
      <c r="H17" s="29"/>
      <c r="I17" s="29"/>
      <c r="J17" s="438"/>
      <c r="K17" s="437" t="str">
        <f t="shared" si="2"/>
        <v/>
      </c>
      <c r="S17" s="194" t="s">
        <v>789</v>
      </c>
      <c r="T17" s="29"/>
      <c r="U17" s="436"/>
      <c r="V17" s="29"/>
      <c r="W17" s="443"/>
      <c r="X17" s="473"/>
      <c r="Y17" s="50"/>
      <c r="Z17" s="29"/>
      <c r="AA17" s="29"/>
      <c r="AB17" s="438"/>
      <c r="AC17" s="437" t="str">
        <f t="shared" si="1"/>
        <v/>
      </c>
    </row>
    <row r="18" spans="1:29" x14ac:dyDescent="0.25">
      <c r="A18" s="467" t="s">
        <v>784</v>
      </c>
      <c r="B18" s="29"/>
      <c r="C18" s="436"/>
      <c r="D18" s="29"/>
      <c r="E18" s="443"/>
      <c r="F18" s="473"/>
      <c r="G18" s="50"/>
      <c r="H18" s="29"/>
      <c r="I18" s="29"/>
      <c r="J18" s="438"/>
      <c r="K18" s="437" t="str">
        <f t="shared" si="2"/>
        <v/>
      </c>
      <c r="S18" s="467" t="s">
        <v>784</v>
      </c>
      <c r="T18" s="29"/>
      <c r="U18" s="436"/>
      <c r="V18" s="29"/>
      <c r="W18" s="443"/>
      <c r="X18" s="473"/>
      <c r="Y18" s="50"/>
      <c r="Z18" s="29"/>
      <c r="AA18" s="29"/>
      <c r="AB18" s="438"/>
      <c r="AC18" s="437" t="str">
        <f t="shared" si="1"/>
        <v/>
      </c>
    </row>
    <row r="19" spans="1:29" x14ac:dyDescent="0.25">
      <c r="A19" s="467" t="s">
        <v>827</v>
      </c>
      <c r="B19" s="29"/>
      <c r="C19" s="436"/>
      <c r="D19" s="29"/>
      <c r="E19" s="443"/>
      <c r="F19" s="473"/>
      <c r="G19" s="50"/>
      <c r="H19" s="29"/>
      <c r="I19" s="29"/>
      <c r="J19" s="438"/>
      <c r="K19" s="437" t="str">
        <f t="shared" si="2"/>
        <v/>
      </c>
      <c r="S19" s="467" t="s">
        <v>827</v>
      </c>
      <c r="T19" s="29"/>
      <c r="U19" s="436"/>
      <c r="V19" s="29"/>
      <c r="W19" s="443"/>
      <c r="X19" s="473"/>
      <c r="Y19" s="50"/>
      <c r="Z19" s="29"/>
      <c r="AA19" s="29"/>
      <c r="AB19" s="438"/>
      <c r="AC19" s="437" t="str">
        <f t="shared" si="1"/>
        <v/>
      </c>
    </row>
    <row r="20" spans="1:29" x14ac:dyDescent="0.25">
      <c r="A20" s="467" t="s">
        <v>828</v>
      </c>
      <c r="B20" s="29"/>
      <c r="C20" s="436"/>
      <c r="D20" s="29"/>
      <c r="E20" s="443"/>
      <c r="F20" s="473"/>
      <c r="G20" s="50"/>
      <c r="H20" s="29"/>
      <c r="I20" s="29"/>
      <c r="J20" s="438"/>
      <c r="K20" s="437" t="str">
        <f t="shared" si="2"/>
        <v/>
      </c>
      <c r="S20" s="467" t="s">
        <v>828</v>
      </c>
      <c r="T20" s="29"/>
      <c r="U20" s="436"/>
      <c r="V20" s="29"/>
      <c r="W20" s="443"/>
      <c r="X20" s="473"/>
      <c r="Y20" s="50"/>
      <c r="Z20" s="29"/>
      <c r="AA20" s="29"/>
      <c r="AB20" s="438"/>
      <c r="AC20" s="437" t="str">
        <f t="shared" si="1"/>
        <v/>
      </c>
    </row>
    <row r="21" spans="1:29" x14ac:dyDescent="0.25">
      <c r="A21" s="467" t="s">
        <v>829</v>
      </c>
      <c r="B21" s="29"/>
      <c r="C21" s="436"/>
      <c r="D21" s="29"/>
      <c r="E21" s="443"/>
      <c r="F21" s="473"/>
      <c r="G21" s="50"/>
      <c r="H21" s="29"/>
      <c r="I21" s="29"/>
      <c r="J21" s="438"/>
      <c r="K21" s="437" t="str">
        <f t="shared" si="2"/>
        <v/>
      </c>
      <c r="S21" s="467" t="s">
        <v>829</v>
      </c>
      <c r="T21" s="29"/>
      <c r="U21" s="436"/>
      <c r="V21" s="29"/>
      <c r="W21" s="443"/>
      <c r="X21" s="473"/>
      <c r="Y21" s="50"/>
      <c r="Z21" s="29"/>
      <c r="AA21" s="29"/>
      <c r="AB21" s="438"/>
      <c r="AC21" s="437" t="str">
        <f t="shared" si="1"/>
        <v/>
      </c>
    </row>
    <row r="22" spans="1:29" x14ac:dyDescent="0.25">
      <c r="A22" s="467" t="s">
        <v>830</v>
      </c>
      <c r="B22" s="29"/>
      <c r="C22" s="436"/>
      <c r="D22" s="29"/>
      <c r="E22" s="443"/>
      <c r="F22" s="473"/>
      <c r="G22" s="50"/>
      <c r="H22" s="29"/>
      <c r="I22" s="29"/>
      <c r="J22" s="438"/>
      <c r="K22" s="437" t="str">
        <f t="shared" si="2"/>
        <v/>
      </c>
      <c r="S22" s="467" t="s">
        <v>830</v>
      </c>
      <c r="T22" s="29"/>
      <c r="U22" s="436"/>
      <c r="V22" s="29"/>
      <c r="W22" s="443"/>
      <c r="X22" s="473"/>
      <c r="Y22" s="50"/>
      <c r="Z22" s="29"/>
      <c r="AA22" s="29"/>
      <c r="AB22" s="438"/>
      <c r="AC22" s="437" t="str">
        <f t="shared" si="1"/>
        <v/>
      </c>
    </row>
    <row r="23" spans="1:29" x14ac:dyDescent="0.25">
      <c r="A23" s="467" t="s">
        <v>831</v>
      </c>
      <c r="B23" s="29"/>
      <c r="C23" s="436"/>
      <c r="D23" s="29"/>
      <c r="E23" s="443"/>
      <c r="F23" s="473"/>
      <c r="G23" s="50"/>
      <c r="H23" s="29"/>
      <c r="I23" s="29"/>
      <c r="J23" s="438"/>
      <c r="K23" s="437" t="str">
        <f t="shared" si="2"/>
        <v/>
      </c>
      <c r="S23" s="467" t="s">
        <v>831</v>
      </c>
      <c r="T23" s="29"/>
      <c r="U23" s="436"/>
      <c r="V23" s="29"/>
      <c r="W23" s="443"/>
      <c r="X23" s="473"/>
      <c r="Y23" s="50"/>
      <c r="Z23" s="29"/>
      <c r="AA23" s="29"/>
      <c r="AB23" s="438"/>
      <c r="AC23" s="437" t="str">
        <f t="shared" si="1"/>
        <v/>
      </c>
    </row>
    <row r="24" spans="1:29" x14ac:dyDescent="0.25">
      <c r="A24" s="467" t="s">
        <v>832</v>
      </c>
      <c r="B24" s="29"/>
      <c r="C24" s="436"/>
      <c r="D24" s="29"/>
      <c r="E24" s="443"/>
      <c r="F24" s="473"/>
      <c r="G24" s="50"/>
      <c r="H24" s="29"/>
      <c r="I24" s="29"/>
      <c r="J24" s="438"/>
      <c r="K24" s="437" t="str">
        <f t="shared" si="2"/>
        <v/>
      </c>
      <c r="S24" s="467" t="s">
        <v>832</v>
      </c>
      <c r="T24" s="29"/>
      <c r="U24" s="436"/>
      <c r="V24" s="29"/>
      <c r="W24" s="443"/>
      <c r="X24" s="473"/>
      <c r="Y24" s="50"/>
      <c r="Z24" s="29"/>
      <c r="AA24" s="29"/>
      <c r="AB24" s="438"/>
      <c r="AC24" s="437" t="str">
        <f t="shared" si="1"/>
        <v/>
      </c>
    </row>
    <row r="25" spans="1:29" x14ac:dyDescent="0.25">
      <c r="A25" s="467" t="s">
        <v>833</v>
      </c>
      <c r="B25" s="29"/>
      <c r="C25" s="436"/>
      <c r="D25" s="29"/>
      <c r="E25" s="443"/>
      <c r="F25" s="473"/>
      <c r="G25" s="50"/>
      <c r="H25" s="29"/>
      <c r="I25" s="29"/>
      <c r="J25" s="438"/>
      <c r="K25" s="437" t="str">
        <f t="shared" si="2"/>
        <v/>
      </c>
      <c r="S25" s="467" t="s">
        <v>833</v>
      </c>
      <c r="T25" s="29"/>
      <c r="U25" s="436"/>
      <c r="V25" s="29"/>
      <c r="W25" s="443"/>
      <c r="X25" s="473"/>
      <c r="Y25" s="50"/>
      <c r="Z25" s="29"/>
      <c r="AA25" s="29"/>
      <c r="AB25" s="438"/>
      <c r="AC25" s="437" t="str">
        <f t="shared" si="1"/>
        <v/>
      </c>
    </row>
    <row r="26" spans="1:29" x14ac:dyDescent="0.25">
      <c r="A26" s="467" t="s">
        <v>834</v>
      </c>
      <c r="B26" s="29"/>
      <c r="C26" s="436"/>
      <c r="D26" s="29"/>
      <c r="E26" s="443"/>
      <c r="F26" s="473"/>
      <c r="G26" s="50"/>
      <c r="H26" s="29"/>
      <c r="I26" s="29"/>
      <c r="J26" s="438"/>
      <c r="K26" s="437" t="str">
        <f t="shared" si="2"/>
        <v/>
      </c>
      <c r="S26" s="467" t="s">
        <v>834</v>
      </c>
      <c r="T26" s="29"/>
      <c r="U26" s="436"/>
      <c r="V26" s="29"/>
      <c r="W26" s="443"/>
      <c r="X26" s="473"/>
      <c r="Y26" s="50"/>
      <c r="Z26" s="29"/>
      <c r="AA26" s="29"/>
      <c r="AB26" s="438"/>
      <c r="AC26" s="437" t="str">
        <f t="shared" si="1"/>
        <v/>
      </c>
    </row>
    <row r="27" spans="1:29" x14ac:dyDescent="0.25">
      <c r="A27" s="467" t="s">
        <v>835</v>
      </c>
      <c r="B27" s="29"/>
      <c r="C27" s="436"/>
      <c r="D27" s="29"/>
      <c r="E27" s="443"/>
      <c r="F27" s="473"/>
      <c r="G27" s="50"/>
      <c r="H27" s="29"/>
      <c r="I27" s="29"/>
      <c r="J27" s="438"/>
      <c r="K27" s="437" t="str">
        <f t="shared" si="2"/>
        <v/>
      </c>
      <c r="S27" s="467" t="s">
        <v>835</v>
      </c>
      <c r="T27" s="29"/>
      <c r="U27" s="436"/>
      <c r="V27" s="29"/>
      <c r="W27" s="443"/>
      <c r="X27" s="473"/>
      <c r="Y27" s="50"/>
      <c r="Z27" s="29"/>
      <c r="AA27" s="29"/>
      <c r="AB27" s="438"/>
      <c r="AC27" s="437" t="str">
        <f t="shared" si="1"/>
        <v/>
      </c>
    </row>
    <row r="28" spans="1:29" x14ac:dyDescent="0.25">
      <c r="A28" s="467" t="s">
        <v>836</v>
      </c>
      <c r="B28" s="29"/>
      <c r="C28" s="436"/>
      <c r="D28" s="29"/>
      <c r="E28" s="443"/>
      <c r="F28" s="473"/>
      <c r="G28" s="50"/>
      <c r="H28" s="29"/>
      <c r="I28" s="29"/>
      <c r="J28" s="438"/>
      <c r="K28" s="437" t="str">
        <f t="shared" si="2"/>
        <v/>
      </c>
      <c r="S28" s="467" t="s">
        <v>836</v>
      </c>
      <c r="T28" s="29"/>
      <c r="U28" s="436"/>
      <c r="V28" s="29"/>
      <c r="W28" s="443"/>
      <c r="X28" s="473"/>
      <c r="Y28" s="50"/>
      <c r="Z28" s="29"/>
      <c r="AA28" s="29"/>
      <c r="AB28" s="438"/>
      <c r="AC28" s="437" t="str">
        <f t="shared" si="1"/>
        <v/>
      </c>
    </row>
    <row r="29" spans="1:29" x14ac:dyDescent="0.25">
      <c r="A29" s="467" t="s">
        <v>838</v>
      </c>
      <c r="B29" s="29"/>
      <c r="C29" s="436"/>
      <c r="D29" s="29"/>
      <c r="E29" s="443"/>
      <c r="F29" s="473"/>
      <c r="G29" s="50"/>
      <c r="H29" s="29"/>
      <c r="I29" s="29"/>
      <c r="J29" s="438"/>
      <c r="K29" s="437" t="str">
        <f t="shared" si="2"/>
        <v/>
      </c>
      <c r="S29" s="467" t="s">
        <v>838</v>
      </c>
      <c r="T29" s="29"/>
      <c r="U29" s="436"/>
      <c r="V29" s="29"/>
      <c r="W29" s="443"/>
      <c r="X29" s="473"/>
      <c r="Y29" s="50"/>
      <c r="Z29" s="29"/>
      <c r="AA29" s="29"/>
      <c r="AB29" s="438"/>
      <c r="AC29" s="437" t="str">
        <f t="shared" si="1"/>
        <v/>
      </c>
    </row>
    <row r="30" spans="1:29" x14ac:dyDescent="0.25">
      <c r="A30" s="467" t="s">
        <v>837</v>
      </c>
      <c r="B30" s="29"/>
      <c r="C30" s="436"/>
      <c r="D30" s="29"/>
      <c r="E30" s="443"/>
      <c r="F30" s="473"/>
      <c r="G30" s="50"/>
      <c r="H30" s="29"/>
      <c r="I30" s="29"/>
      <c r="J30" s="438"/>
      <c r="K30" s="437" t="str">
        <f t="shared" si="2"/>
        <v/>
      </c>
      <c r="S30" s="467" t="s">
        <v>837</v>
      </c>
      <c r="T30" s="29"/>
      <c r="U30" s="436"/>
      <c r="V30" s="29"/>
      <c r="W30" s="443"/>
      <c r="X30" s="473"/>
      <c r="Y30" s="50"/>
      <c r="Z30" s="29"/>
      <c r="AA30" s="29"/>
      <c r="AB30" s="438"/>
      <c r="AC30" s="437" t="str">
        <f t="shared" si="1"/>
        <v/>
      </c>
    </row>
    <row r="31" spans="1:29" x14ac:dyDescent="0.25">
      <c r="A31" s="467" t="s">
        <v>839</v>
      </c>
      <c r="B31" s="29"/>
      <c r="C31" s="436"/>
      <c r="D31" s="29"/>
      <c r="E31" s="443"/>
      <c r="F31" s="473"/>
      <c r="G31" s="50"/>
      <c r="H31" s="29"/>
      <c r="I31" s="29"/>
      <c r="J31" s="438"/>
      <c r="K31" s="437" t="str">
        <f t="shared" si="2"/>
        <v/>
      </c>
      <c r="S31" s="467" t="s">
        <v>839</v>
      </c>
      <c r="T31" s="29"/>
      <c r="U31" s="436"/>
      <c r="V31" s="29"/>
      <c r="W31" s="443"/>
      <c r="X31" s="473"/>
      <c r="Y31" s="50"/>
      <c r="Z31" s="29"/>
      <c r="AA31" s="29"/>
      <c r="AB31" s="438"/>
      <c r="AC31" s="437" t="str">
        <f t="shared" si="1"/>
        <v/>
      </c>
    </row>
    <row r="32" spans="1:29" x14ac:dyDescent="0.25">
      <c r="A32" s="467" t="s">
        <v>840</v>
      </c>
      <c r="B32" s="29"/>
      <c r="C32" s="436"/>
      <c r="D32" s="29"/>
      <c r="E32" s="443"/>
      <c r="F32" s="473"/>
      <c r="G32" s="50"/>
      <c r="H32" s="29"/>
      <c r="I32" s="29"/>
      <c r="J32" s="438"/>
      <c r="K32" s="437" t="str">
        <f t="shared" si="2"/>
        <v/>
      </c>
      <c r="S32" s="467" t="s">
        <v>840</v>
      </c>
      <c r="T32" s="29"/>
      <c r="U32" s="436"/>
      <c r="V32" s="29"/>
      <c r="W32" s="443"/>
      <c r="X32" s="473"/>
      <c r="Y32" s="50"/>
      <c r="Z32" s="29"/>
      <c r="AA32" s="29"/>
      <c r="AB32" s="438"/>
      <c r="AC32" s="437" t="str">
        <f t="shared" si="1"/>
        <v/>
      </c>
    </row>
    <row r="33" spans="1:29" x14ac:dyDescent="0.25">
      <c r="A33" s="467" t="s">
        <v>841</v>
      </c>
      <c r="B33" s="29"/>
      <c r="C33" s="436"/>
      <c r="D33" s="29"/>
      <c r="E33" s="443"/>
      <c r="F33" s="473"/>
      <c r="G33" s="50"/>
      <c r="H33" s="29"/>
      <c r="I33" s="29"/>
      <c r="J33" s="438"/>
      <c r="K33" s="437" t="str">
        <f t="shared" si="2"/>
        <v/>
      </c>
      <c r="S33" s="467" t="s">
        <v>841</v>
      </c>
      <c r="T33" s="29"/>
      <c r="U33" s="436"/>
      <c r="V33" s="29"/>
      <c r="W33" s="443"/>
      <c r="X33" s="473"/>
      <c r="Y33" s="50"/>
      <c r="Z33" s="29"/>
      <c r="AA33" s="29"/>
      <c r="AB33" s="438"/>
      <c r="AC33" s="437" t="str">
        <f t="shared" si="1"/>
        <v/>
      </c>
    </row>
    <row r="34" spans="1:29" ht="15.75" thickBot="1" x14ac:dyDescent="0.3">
      <c r="A34" s="194" t="s">
        <v>842</v>
      </c>
      <c r="B34" s="29"/>
      <c r="C34" s="436"/>
      <c r="D34" s="29"/>
      <c r="E34" s="443"/>
      <c r="F34" s="473"/>
      <c r="G34" s="439"/>
      <c r="H34" s="440"/>
      <c r="I34" s="440"/>
      <c r="J34" s="441"/>
      <c r="K34" s="437" t="str">
        <f t="shared" si="2"/>
        <v/>
      </c>
      <c r="S34" s="194" t="s">
        <v>842</v>
      </c>
      <c r="T34" s="29"/>
      <c r="U34" s="436"/>
      <c r="V34" s="29"/>
      <c r="W34" s="443"/>
      <c r="X34" s="473"/>
      <c r="Y34" s="439"/>
      <c r="Z34" s="440"/>
      <c r="AA34" s="440"/>
      <c r="AB34" s="441"/>
      <c r="AC34" s="437" t="str">
        <f t="shared" si="1"/>
        <v/>
      </c>
    </row>
    <row r="35" spans="1:29" x14ac:dyDescent="0.25">
      <c r="A35" s="449" t="s">
        <v>843</v>
      </c>
      <c r="B35" s="450">
        <f>SUM(B9:B34)</f>
        <v>0</v>
      </c>
      <c r="C35" s="451"/>
      <c r="D35" s="450">
        <f>SUM(B9*(IF(D9="Efficiency",1,D9)),B10*(IF(D10="Efficiency",1,D10)),B11*(IF(D11="Efficiency",1,D11)),B12*(IF(D12="Efficiency",1,D12)),B13*(IF(D13="Efficiency",1,D13)),B14*(IF(D14="Efficiency",1,D14)),B15*(IF(D15="Efficiency",1,D15)),B16*(IF(D16="Efficiency",1,D16)),B17*(IF(D17="Efficiency",1,D17)),B18*(IF(D18="Efficiency",1,D18)),B19*(IF(D19="Efficiency",1,D19)),B20*(IF(D20="Efficiency",1,D20)),B21*(IF(D21="Efficiency",1,D21)),B22*(IF(D22="Efficiency",1,D22)),B23*(IF(D23="Efficiency",1,D23)),B24*(IF(D24="Efficiency",1,D24)),B25*(IF(D25="Efficiency",1,D25)),B26*(IF(D26="Efficiency",1,D26)),B27*(IF(D27="Efficiency",1,D27)),B28*(IF(D28="Efficiency",1,D28)),B29*(IF(D29="Efficiency",1,D29)),B30*(IF(D30="Efficiency",1,D30)),B31*(IF(D31="Efficiency",1,D31)),B32*(IF(D32="Efficiency",1,D32)),B33*(IF(D33="Efficiency",1,D33)),B34*(IF(D34="Efficiency",1,D34)))</f>
        <v>0</v>
      </c>
      <c r="E35" s="452">
        <f>SUM(B9*E9,B10*E10,B11*E11,B12*E12,B13*E13,B14*E14,B15*E15,B16*E16,B17*E17,B18*E18,B19*E19,B20*E20,B21*E21,B22*E22,B23*E23,B24*E24,B25*E25,B26*E26,B27*E27,B28*E28,B29*E29,B30*E30,B31*E31,B32*E32,B33*E33,B34*E34)</f>
        <v>0</v>
      </c>
      <c r="F35" s="450">
        <f>SUM(B9*F9,B10*F10,B11*F11,B12*F12,B13*F13,B14*F14,B15*F15,B16*F16,B17*F17,B18*F18,B19*F19,B20*F20,B21*F21,B22*F22,B23*F23,B24*F24,B25*F25,B26*F26,B27*F27,B28*F28,B29*F29,B30*F30,B31*F31,B32*F32,B33*F33,B34*F34)</f>
        <v>0</v>
      </c>
      <c r="G35" s="1146" t="s">
        <v>792</v>
      </c>
      <c r="H35" s="1147"/>
      <c r="I35" s="1147"/>
      <c r="J35" s="1148"/>
      <c r="K35" s="453" t="str">
        <f>IF(AND(OR(K9="",K9="Yes"),OR(K10="",K10="Yes"),OR(K11="",K11="Yes"),OR(K12="",K12="Yes"),OR(K13="",K13="Yes"),OR(K14="",K14="Yes"),OR(K15="",K15="Yes"),OR(K16="",K16="Yes"),OR(K17="",K17="Yes"),OR(K18="",K18="Yes"),OR(K19="",K19="Yes"),OR(K20="",K20="Yes"),OR(K21="",K21="Yes"),OR(K22="",K22="Yes"),OR(K23="",K23="Yes"),OR(K24="",K24="Yes"),OR(K25="",K25="Yes"),OR(K26="",K26="Yes"),OR(K27="",K27="Yes"),OR(K28="",K28="Yes"),OR(K29="",K29="Yes"),OR(K30="",K30="Yes"),OR(K31="",K31="Yes"),OR(K32="",K32="Yes"),OR(K33="",K33="Yes"),OR(K34="",K34="Yes")),"Comparable","NOT comparable")</f>
        <v>Comparable</v>
      </c>
      <c r="S35" s="449" t="s">
        <v>843</v>
      </c>
      <c r="T35" s="450">
        <f>SUM(T9:T34)</f>
        <v>0</v>
      </c>
      <c r="U35" s="451"/>
      <c r="V35" s="450">
        <f>SUM(T9*(IF(V9="Efficiency",1,V9)),T10*(IF(V10="Efficiency",1,V10)),T11*(IF(V11="Efficiency",1,V11)),T12*(IF(V12="Efficiency",1,V12)),T13*(IF(V13="Efficiency",1,V13)),T14*(IF(V14="Efficiency",1,V14)),T15*(IF(V15="Efficiency",1,V15)),T16*(IF(V16="Efficiency",1,V16)),T17*(IF(V17="Efficiency",1,V17)),T18*(IF(V18="Efficiency",1,V18)),T19*(IF(V19="Efficiency",1,V19)),T20*(IF(V20="Efficiency",1,V20)),T21*(IF(V21="Efficiency",1,V21)),T22*(IF(V22="Efficiency",1,V22)),T23*(IF(V23="Efficiency",1,V23)),T24*(IF(V24="Efficiency",1,V24)),T25*(IF(V25="Efficiency",1,V25)),T26*(IF(V26="Efficiency",1,V26)),T27*(IF(V27="Efficiency",1,V27)),T28*(IF(V28="Efficiency",1,V28)),T29*(IF(V29="Efficiency",1,V29)),T30*(IF(V30="Efficiency",1,V30)),T31*(IF(V31="Efficiency",1,V31)),T32*(IF(V32="Efficiency",1,V32)),T33*(IF(V33="Efficiency",1,V33)),T34*(IF(V34="Efficiency",1,V34)))</f>
        <v>0</v>
      </c>
      <c r="W35" s="452">
        <f>SUM(T9*W9,T10*W10,T11*W11,T12*W12,T13*W13,T14*W14,T15*W15,T16*W16,T17*W17,T18*W18,T19*W19,T20*W20,T21*W21,T22*W22,T23*W23,T24*W24,T25*W25,T26*W26,T27*W27,T28*W28,T29*W29,T30*W30,T31*W31,T32*W32,T33*W33,T34*W34)</f>
        <v>0</v>
      </c>
      <c r="X35" s="450">
        <f>SUM(T9*X9,T10*X10,T11*X11,T12*X12,T13*X13,T14*X14,T15*X15,T16*X16,T17*X17,T18*X18,T19*X19,T20*X20,T21*X21,T22*X22,T23*X23,T24*X24,T25*X25,T26*X26,T27*X27,T28*X28,T29*X29,T30*X30,T31*X31,T32*X32,T33*X33,T34*X34)</f>
        <v>0</v>
      </c>
      <c r="Y35" s="1146" t="s">
        <v>792</v>
      </c>
      <c r="Z35" s="1147"/>
      <c r="AA35" s="1147"/>
      <c r="AB35" s="1148"/>
      <c r="AC35" s="453" t="str">
        <f>IF(AND(OR(AC9="",AC9="Yes"),OR(AC10="",AC10="Yes"),OR(AC11="",AC11="Yes"),OR(AC12="",AC12="Yes"),OR(AC13="",AC13="Yes"),OR(AC14="",AC14="Yes"),OR(AC15="",AC15="Yes"),OR(AC16="",AC16="Yes"),OR(AC17="",AC17="Yes"),OR(AC18="",AC18="Yes"),OR(AC19="",AC19="Yes"),OR(AC20="",AC20="Yes"),OR(AC21="",AC21="Yes"),OR(AC22="",AC22="Yes"),OR(AC23="",AC23="Yes"),OR(AC24="",AC24="Yes"),OR(AC25="",AC25="Yes"),OR(AC26="",AC26="Yes"),OR(AC27="",AC27="Yes"),OR(AC28="",AC28="Yes"),OR(AC29="",AC29="Yes"),OR(AC30="",AC30="Yes"),OR(AC31="",AC31="Yes"),OR(AC32="",AC32="Yes"),OR(AC33="",AC33="Yes"),OR(AC34="",AC34="Yes")),"Comparable","NOT comparable")</f>
        <v>Comparable</v>
      </c>
    </row>
    <row r="36" spans="1:29" x14ac:dyDescent="0.25">
      <c r="A36" s="878" t="s">
        <v>844</v>
      </c>
      <c r="B36" s="878"/>
      <c r="C36" s="878"/>
      <c r="D36" s="878"/>
      <c r="E36" s="1149">
        <f>SUM('Project SqFt'!$C$88,'Project SqFt'!$K$88,'Project SqFt'!$R$88)</f>
        <v>0</v>
      </c>
      <c r="F36" s="1150"/>
      <c r="G36" s="184"/>
      <c r="H36" s="184"/>
      <c r="I36" s="184"/>
      <c r="J36" s="189"/>
      <c r="K36" s="454"/>
      <c r="S36" s="878" t="s">
        <v>844</v>
      </c>
      <c r="T36" s="878"/>
      <c r="U36" s="878"/>
      <c r="V36" s="878"/>
      <c r="W36" s="1149">
        <f>SUM('Project SqFt'!$C$88,'Project SqFt'!$K$88,'Project SqFt'!$R$88)</f>
        <v>0</v>
      </c>
      <c r="X36" s="1150"/>
      <c r="Y36" s="184"/>
      <c r="Z36" s="184"/>
      <c r="AA36" s="184"/>
      <c r="AB36" s="189"/>
      <c r="AC36" s="454"/>
    </row>
    <row r="37" spans="1:29" ht="7.5" customHeight="1" x14ac:dyDescent="0.25">
      <c r="D37" s="188"/>
      <c r="E37" s="455"/>
      <c r="F37" s="455"/>
      <c r="J37" s="188"/>
      <c r="K37" s="237"/>
      <c r="V37" s="188"/>
      <c r="W37" s="455"/>
      <c r="X37" s="455"/>
      <c r="AB37" s="188"/>
      <c r="AC37" s="237"/>
    </row>
    <row r="38" spans="1:29" x14ac:dyDescent="0.25">
      <c r="A38" s="1151" t="s">
        <v>785</v>
      </c>
      <c r="B38" s="1151"/>
      <c r="C38" s="1151"/>
      <c r="S38" s="1151" t="s">
        <v>785</v>
      </c>
      <c r="T38" s="1151"/>
      <c r="U38" s="1151"/>
    </row>
    <row r="39" spans="1:29" x14ac:dyDescent="0.25">
      <c r="A39" s="1152" t="s">
        <v>786</v>
      </c>
      <c r="B39" s="1152"/>
      <c r="C39" s="1152"/>
      <c r="D39" s="1152"/>
      <c r="E39" s="1152"/>
      <c r="F39" s="1152"/>
      <c r="G39" s="1152"/>
      <c r="H39" s="1152"/>
      <c r="I39" s="1152"/>
      <c r="J39" s="1152"/>
      <c r="K39" s="1152"/>
      <c r="S39" s="1152" t="s">
        <v>786</v>
      </c>
      <c r="T39" s="1152"/>
      <c r="U39" s="1152"/>
      <c r="V39" s="1152"/>
      <c r="W39" s="1152"/>
      <c r="X39" s="1152"/>
      <c r="Y39" s="1152"/>
      <c r="Z39" s="1152"/>
      <c r="AA39" s="1152"/>
      <c r="AB39" s="1152"/>
      <c r="AC39" s="1152"/>
    </row>
    <row r="40" spans="1:29" x14ac:dyDescent="0.25">
      <c r="A40" s="1153" t="s">
        <v>791</v>
      </c>
      <c r="B40" s="1153"/>
      <c r="C40" s="1153"/>
      <c r="D40" s="1153"/>
      <c r="E40" s="1153"/>
      <c r="F40" s="1153"/>
      <c r="G40" s="1153"/>
      <c r="H40" s="1153"/>
      <c r="I40" s="1153"/>
      <c r="J40" s="1153"/>
      <c r="K40" s="1153"/>
      <c r="S40" s="1153" t="s">
        <v>791</v>
      </c>
      <c r="T40" s="1153"/>
      <c r="U40" s="1153"/>
      <c r="V40" s="1153"/>
      <c r="W40" s="1153"/>
      <c r="X40" s="1153"/>
      <c r="Y40" s="1153"/>
      <c r="Z40" s="1153"/>
      <c r="AA40" s="1153"/>
      <c r="AB40" s="1153"/>
      <c r="AC40" s="1153"/>
    </row>
    <row r="41" spans="1:29" x14ac:dyDescent="0.25">
      <c r="A41" s="1152" t="s">
        <v>787</v>
      </c>
      <c r="B41" s="1152"/>
      <c r="C41" s="1152"/>
      <c r="D41" s="1152"/>
      <c r="E41" s="1152"/>
      <c r="F41" s="1152"/>
      <c r="G41" s="1152"/>
      <c r="H41" s="1152"/>
      <c r="I41" s="1152"/>
      <c r="J41" s="1152"/>
      <c r="K41" s="1152"/>
      <c r="S41" s="1152" t="s">
        <v>787</v>
      </c>
      <c r="T41" s="1152"/>
      <c r="U41" s="1152"/>
      <c r="V41" s="1152"/>
      <c r="W41" s="1152"/>
      <c r="X41" s="1152"/>
      <c r="Y41" s="1152"/>
      <c r="Z41" s="1152"/>
      <c r="AA41" s="1152"/>
      <c r="AB41" s="1152"/>
      <c r="AC41" s="1152"/>
    </row>
    <row r="42" spans="1:29" x14ac:dyDescent="0.25">
      <c r="A42" s="1152" t="s">
        <v>788</v>
      </c>
      <c r="B42" s="1152"/>
      <c r="C42" s="1152"/>
      <c r="D42" s="1152"/>
      <c r="E42" s="1152"/>
      <c r="F42" s="1152"/>
      <c r="G42" s="1152"/>
      <c r="H42" s="1152"/>
      <c r="I42" s="1152"/>
      <c r="J42" s="1152"/>
      <c r="K42" s="1152"/>
      <c r="S42" s="1152" t="s">
        <v>788</v>
      </c>
      <c r="T42" s="1152"/>
      <c r="U42" s="1152"/>
      <c r="V42" s="1152"/>
      <c r="W42" s="1152"/>
      <c r="X42" s="1152"/>
      <c r="Y42" s="1152"/>
      <c r="Z42" s="1152"/>
      <c r="AA42" s="1152"/>
      <c r="AB42" s="1152"/>
      <c r="AC42" s="1152"/>
    </row>
    <row r="44" spans="1:29" ht="18.75" x14ac:dyDescent="0.3">
      <c r="A44" s="805" t="s">
        <v>990</v>
      </c>
      <c r="B44" s="805"/>
      <c r="C44" s="805"/>
      <c r="D44" s="805"/>
      <c r="E44" s="805"/>
      <c r="F44" s="805"/>
      <c r="G44" s="805"/>
      <c r="H44" s="805"/>
      <c r="I44" s="805"/>
      <c r="J44" s="805"/>
      <c r="K44" s="805"/>
      <c r="S44" s="805" t="s">
        <v>991</v>
      </c>
      <c r="T44" s="805"/>
      <c r="U44" s="805"/>
      <c r="V44" s="805"/>
      <c r="W44" s="805"/>
      <c r="X44" s="805"/>
      <c r="Y44" s="805"/>
      <c r="Z44" s="805"/>
      <c r="AA44" s="805"/>
      <c r="AB44" s="805"/>
      <c r="AC44" s="805"/>
    </row>
    <row r="45" spans="1:29" x14ac:dyDescent="0.25">
      <c r="A45" s="1128" t="s">
        <v>793</v>
      </c>
      <c r="B45" s="1128"/>
      <c r="C45" s="456" t="str">
        <f>IF(G45="","",IF(G45="HOME Investment","Unit Designations",IF(G45="Unit Designations","Cost of Units","")))</f>
        <v>Cost of Units</v>
      </c>
      <c r="D45" s="648" t="s">
        <v>794</v>
      </c>
      <c r="E45" s="648"/>
      <c r="F45" s="648"/>
      <c r="G45" s="1136" t="s">
        <v>222</v>
      </c>
      <c r="H45" s="1136"/>
      <c r="I45" s="1128" t="s">
        <v>795</v>
      </c>
      <c r="J45" s="1128"/>
      <c r="K45" s="456" t="str">
        <f>IF('Project Summary'!$C$68="","",'Project Summary'!$C$68)</f>
        <v/>
      </c>
      <c r="S45" s="1128" t="s">
        <v>793</v>
      </c>
      <c r="T45" s="1128"/>
      <c r="U45" s="456" t="str">
        <f>IF(Y45="","",IF(Y45="HTF Investment","Unit Designations",IF(Y45="Unit Designations","Cost of Units","")))</f>
        <v>Unit Designations</v>
      </c>
      <c r="V45" s="648" t="s">
        <v>794</v>
      </c>
      <c r="W45" s="648"/>
      <c r="X45" s="648"/>
      <c r="Y45" s="1136" t="s">
        <v>1092</v>
      </c>
      <c r="Z45" s="1136"/>
      <c r="AA45" s="1128" t="s">
        <v>795</v>
      </c>
      <c r="AB45" s="1128"/>
      <c r="AC45" s="456" t="str">
        <f>IF('Project Summary'!$C$46="","",'Project Summary'!$C$46)</f>
        <v/>
      </c>
    </row>
    <row r="46" spans="1:29" x14ac:dyDescent="0.25">
      <c r="A46" s="1128" t="s">
        <v>1111</v>
      </c>
      <c r="B46" s="1128"/>
      <c r="C46" s="634" t="s">
        <v>1121</v>
      </c>
      <c r="D46" s="147"/>
      <c r="E46" s="147"/>
      <c r="F46" s="147"/>
      <c r="G46" s="456"/>
      <c r="H46" s="456"/>
      <c r="I46" s="188"/>
      <c r="J46" s="188"/>
      <c r="K46" s="456"/>
      <c r="S46" s="1128" t="s">
        <v>1111</v>
      </c>
      <c r="T46" s="1128"/>
      <c r="U46" s="634" t="s">
        <v>1121</v>
      </c>
      <c r="V46" s="147"/>
      <c r="W46" s="147"/>
      <c r="X46" s="147"/>
      <c r="Y46" s="456"/>
      <c r="Z46" s="456"/>
      <c r="AA46" s="188"/>
      <c r="AB46" s="188"/>
      <c r="AC46" s="456"/>
    </row>
    <row r="47" spans="1:29" x14ac:dyDescent="0.25">
      <c r="A47" s="188"/>
      <c r="B47" s="188"/>
      <c r="C47" s="456"/>
      <c r="D47" s="147"/>
      <c r="E47" s="147"/>
      <c r="F47" s="147"/>
      <c r="G47" s="456"/>
      <c r="H47" s="456"/>
      <c r="I47" s="188"/>
      <c r="J47" s="188"/>
      <c r="K47" s="456"/>
      <c r="S47" s="188"/>
      <c r="T47" s="188"/>
      <c r="U47" s="456"/>
      <c r="V47" s="147"/>
      <c r="W47" s="147"/>
      <c r="X47" s="147"/>
      <c r="Y47" s="456"/>
      <c r="Z47" s="456"/>
      <c r="AA47" s="188"/>
      <c r="AB47" s="188"/>
      <c r="AC47" s="456"/>
    </row>
    <row r="48" spans="1:29" ht="15" customHeight="1" x14ac:dyDescent="0.25">
      <c r="A48" s="1129" t="s">
        <v>983</v>
      </c>
      <c r="B48" s="1129"/>
      <c r="C48" s="1135">
        <f>'Funding Sources'!$F$7</f>
        <v>0</v>
      </c>
      <c r="E48" s="878" t="s">
        <v>803</v>
      </c>
      <c r="F48" s="878"/>
      <c r="G48" s="878"/>
      <c r="H48" s="1130">
        <f>IF(OR(I53="",I53="No"),'Development Budget'!$E$121-C60-H56,'Development Budget'!$E$121+C52-C60-H56)</f>
        <v>0</v>
      </c>
      <c r="I48" s="1130"/>
      <c r="S48" s="1129" t="s">
        <v>985</v>
      </c>
      <c r="T48" s="1129"/>
      <c r="U48" s="1135">
        <f>'Funding Sources'!$F$6</f>
        <v>0</v>
      </c>
      <c r="W48" s="878" t="s">
        <v>803</v>
      </c>
      <c r="X48" s="878"/>
      <c r="Y48" s="878"/>
      <c r="Z48" s="1130">
        <f>'Development Budget'!$E$121-U60-Z56</f>
        <v>0</v>
      </c>
      <c r="AA48" s="1130"/>
    </row>
    <row r="49" spans="1:29" ht="15" customHeight="1" x14ac:dyDescent="0.25">
      <c r="A49" s="1129"/>
      <c r="B49" s="1129"/>
      <c r="C49" s="1135"/>
      <c r="E49" s="878" t="s">
        <v>804</v>
      </c>
      <c r="F49" s="878"/>
      <c r="G49" s="878"/>
      <c r="H49" s="1131" t="str">
        <f>IFERROR(H48/SUM('Project SqFt'!$C$88,'Project SqFt'!$K$88,'Project SqFt'!$R$88),"")</f>
        <v/>
      </c>
      <c r="I49" s="1131"/>
      <c r="S49" s="1129"/>
      <c r="T49" s="1129"/>
      <c r="U49" s="1135"/>
      <c r="W49" s="878" t="s">
        <v>804</v>
      </c>
      <c r="X49" s="878"/>
      <c r="Y49" s="878"/>
      <c r="Z49" s="1131" t="str">
        <f>IFERROR(Z48/SUM('Project SqFt'!$C$88,'Project SqFt'!$K$88,'Project SqFt'!$R$88),"")</f>
        <v/>
      </c>
      <c r="AA49" s="1131"/>
    </row>
    <row r="50" spans="1:29" ht="15.75" thickBot="1" x14ac:dyDescent="0.3">
      <c r="A50" s="300"/>
      <c r="B50" s="457"/>
      <c r="C50" s="442"/>
      <c r="E50" s="878" t="s">
        <v>824</v>
      </c>
      <c r="F50" s="878"/>
      <c r="G50" s="878"/>
      <c r="H50" s="1111">
        <f>IFERROR(C48/H48,0)</f>
        <v>0</v>
      </c>
      <c r="I50" s="1111"/>
      <c r="S50" s="300"/>
      <c r="T50" s="457"/>
      <c r="U50" s="442"/>
      <c r="W50" s="878" t="s">
        <v>993</v>
      </c>
      <c r="X50" s="878"/>
      <c r="Y50" s="878"/>
      <c r="Z50" s="1111">
        <f>IFERROR(U48/Z48,0)</f>
        <v>0</v>
      </c>
      <c r="AA50" s="1111"/>
    </row>
    <row r="51" spans="1:29" ht="15" customHeight="1" x14ac:dyDescent="0.25">
      <c r="A51" s="1132" t="s">
        <v>986</v>
      </c>
      <c r="B51" s="1133"/>
      <c r="C51" s="1134"/>
      <c r="S51" s="1132" t="s">
        <v>992</v>
      </c>
      <c r="T51" s="1133"/>
      <c r="U51" s="1134"/>
    </row>
    <row r="52" spans="1:29" x14ac:dyDescent="0.25">
      <c r="A52" s="1126" t="s">
        <v>797</v>
      </c>
      <c r="B52" s="743"/>
      <c r="C52" s="557">
        <f>'Development Budget'!$E$30</f>
        <v>0</v>
      </c>
      <c r="S52" s="1126"/>
      <c r="T52" s="743"/>
      <c r="U52" s="557"/>
    </row>
    <row r="53" spans="1:29" ht="15" customHeight="1" x14ac:dyDescent="0.25">
      <c r="A53" s="1116" t="s">
        <v>798</v>
      </c>
      <c r="B53" s="1117"/>
      <c r="C53" s="557">
        <f>'Development Budget'!$E$119-'Development Budget'!$E$114</f>
        <v>0</v>
      </c>
      <c r="E53" s="1154" t="s">
        <v>805</v>
      </c>
      <c r="F53" s="1154"/>
      <c r="G53" s="1154"/>
      <c r="H53" s="1154"/>
      <c r="I53" s="1155" t="s">
        <v>19</v>
      </c>
      <c r="S53" s="1116" t="s">
        <v>798</v>
      </c>
      <c r="T53" s="1117"/>
      <c r="U53" s="557">
        <f>'Development Budget'!$E$119-'Development Budget'!$E$114</f>
        <v>0</v>
      </c>
      <c r="W53" s="530"/>
      <c r="X53" s="530"/>
      <c r="Y53" s="530"/>
      <c r="Z53" s="530"/>
      <c r="AA53" s="588"/>
    </row>
    <row r="54" spans="1:29" ht="15" customHeight="1" x14ac:dyDescent="0.25">
      <c r="A54" s="1116" t="s">
        <v>799</v>
      </c>
      <c r="B54" s="1117"/>
      <c r="C54" s="557">
        <f>'Development Budget'!$E$15</f>
        <v>0</v>
      </c>
      <c r="E54" s="1154"/>
      <c r="F54" s="1154"/>
      <c r="G54" s="1154"/>
      <c r="H54" s="1154"/>
      <c r="I54" s="1155"/>
      <c r="S54" s="1116" t="s">
        <v>799</v>
      </c>
      <c r="T54" s="1117"/>
      <c r="U54" s="557">
        <f>'Development Budget'!$E$15</f>
        <v>0</v>
      </c>
      <c r="W54" s="530"/>
      <c r="X54" s="530"/>
      <c r="Y54" s="530"/>
      <c r="Z54" s="530"/>
      <c r="AA54" s="588"/>
    </row>
    <row r="55" spans="1:29" ht="15" customHeight="1" x14ac:dyDescent="0.25">
      <c r="A55" s="1116" t="s">
        <v>802</v>
      </c>
      <c r="B55" s="1117"/>
      <c r="C55" s="558">
        <v>0</v>
      </c>
      <c r="S55" s="1116" t="s">
        <v>802</v>
      </c>
      <c r="T55" s="1117"/>
      <c r="U55" s="558">
        <v>0</v>
      </c>
    </row>
    <row r="56" spans="1:29" ht="15" customHeight="1" x14ac:dyDescent="0.25">
      <c r="A56" s="1116" t="s">
        <v>356</v>
      </c>
      <c r="B56" s="1117"/>
      <c r="C56" s="557">
        <f>'Development Budget'!$E$103</f>
        <v>0</v>
      </c>
      <c r="E56" s="743" t="s">
        <v>806</v>
      </c>
      <c r="F56" s="743"/>
      <c r="G56" s="743"/>
      <c r="H56" s="1127">
        <v>0</v>
      </c>
      <c r="I56" s="1127"/>
      <c r="S56" s="1116" t="s">
        <v>356</v>
      </c>
      <c r="T56" s="1117"/>
      <c r="U56" s="557">
        <f>'Development Budget'!$E$103</f>
        <v>0</v>
      </c>
      <c r="W56" s="743" t="s">
        <v>806</v>
      </c>
      <c r="X56" s="743"/>
      <c r="Y56" s="743"/>
      <c r="Z56" s="1127">
        <v>0</v>
      </c>
      <c r="AA56" s="1127"/>
    </row>
    <row r="57" spans="1:29" ht="15" customHeight="1" x14ac:dyDescent="0.25">
      <c r="A57" s="1116" t="s">
        <v>800</v>
      </c>
      <c r="B57" s="1117"/>
      <c r="C57" s="1125">
        <v>0</v>
      </c>
      <c r="S57" s="1116" t="s">
        <v>800</v>
      </c>
      <c r="T57" s="1117"/>
      <c r="U57" s="1125">
        <v>0</v>
      </c>
    </row>
    <row r="58" spans="1:29" x14ac:dyDescent="0.25">
      <c r="A58" s="1116"/>
      <c r="B58" s="1117"/>
      <c r="C58" s="1125"/>
      <c r="E58" s="646" t="s">
        <v>813</v>
      </c>
      <c r="F58" s="646"/>
      <c r="G58" s="646"/>
      <c r="H58" s="646"/>
      <c r="I58" s="646"/>
      <c r="S58" s="1116"/>
      <c r="T58" s="1117"/>
      <c r="U58" s="1125"/>
      <c r="W58" s="646" t="s">
        <v>813</v>
      </c>
      <c r="X58" s="646"/>
      <c r="Y58" s="646"/>
      <c r="Z58" s="646"/>
      <c r="AA58" s="646"/>
    </row>
    <row r="59" spans="1:29" ht="15" customHeight="1" x14ac:dyDescent="0.25">
      <c r="A59" s="1118" t="s">
        <v>801</v>
      </c>
      <c r="B59" s="1119"/>
      <c r="C59" s="558">
        <v>0</v>
      </c>
      <c r="F59" s="1120" t="str">
        <f>IF(K45="Fixed",A62,IF(C45="Unit Designations",A125,IF(C45="Cost of Units",A173 &amp; " or " &amp; A224)))</f>
        <v>Proration Method to Determine Maximum HOME Investment or Hybrid Method to Determine Maximum HOME Investment</v>
      </c>
      <c r="G59" s="1120"/>
      <c r="H59" s="1120"/>
      <c r="I59" s="1120"/>
      <c r="J59" s="1120"/>
      <c r="K59" s="1120"/>
      <c r="S59" s="1118" t="s">
        <v>801</v>
      </c>
      <c r="T59" s="1119"/>
      <c r="U59" s="558">
        <v>0</v>
      </c>
      <c r="X59" s="1120" t="str">
        <f>IF(AC45="Fixed",S62,IF(U45="Unit Designations",S125,IF(U45="Cost of Units",S173 &amp; " or " &amp; S224)))</f>
        <v>Proration Method to Determine HTF-Assisted Units Required</v>
      </c>
      <c r="Y59" s="1120"/>
      <c r="Z59" s="1120"/>
      <c r="AA59" s="1120"/>
      <c r="AB59" s="1120"/>
      <c r="AC59" s="1120"/>
    </row>
    <row r="60" spans="1:29" ht="15.75" customHeight="1" thickBot="1" x14ac:dyDescent="0.3">
      <c r="A60" s="1121" t="s">
        <v>765</v>
      </c>
      <c r="B60" s="1122"/>
      <c r="C60" s="559">
        <f>SUM(C52:C59)</f>
        <v>0</v>
      </c>
      <c r="F60" s="1120"/>
      <c r="G60" s="1120"/>
      <c r="H60" s="1120"/>
      <c r="I60" s="1120"/>
      <c r="J60" s="1120"/>
      <c r="K60" s="1120"/>
      <c r="S60" s="1121" t="s">
        <v>765</v>
      </c>
      <c r="T60" s="1122"/>
      <c r="U60" s="559">
        <f>SUM(U52:U59)</f>
        <v>0</v>
      </c>
      <c r="X60" s="1120"/>
      <c r="Y60" s="1120"/>
      <c r="Z60" s="1120"/>
      <c r="AA60" s="1120"/>
      <c r="AB60" s="1120"/>
      <c r="AC60" s="1120"/>
    </row>
    <row r="62" spans="1:29" ht="23.25" x14ac:dyDescent="0.35">
      <c r="A62" s="1106" t="s">
        <v>796</v>
      </c>
      <c r="B62" s="1106"/>
      <c r="C62" s="1106"/>
      <c r="D62" s="1106"/>
      <c r="E62" s="1106"/>
      <c r="F62" s="1106"/>
      <c r="G62" s="1106"/>
      <c r="H62" s="1106"/>
      <c r="I62" s="1106"/>
      <c r="J62" s="1106"/>
      <c r="K62" s="1106"/>
      <c r="S62" s="1106" t="s">
        <v>796</v>
      </c>
      <c r="T62" s="1106"/>
      <c r="U62" s="1106"/>
      <c r="V62" s="1106"/>
      <c r="W62" s="1106"/>
      <c r="X62" s="1106"/>
      <c r="Y62" s="1106"/>
      <c r="Z62" s="1106"/>
      <c r="AA62" s="1106"/>
      <c r="AB62" s="1106"/>
      <c r="AC62" s="1106"/>
    </row>
    <row r="63" spans="1:29" ht="15.75" x14ac:dyDescent="0.25">
      <c r="A63" s="1123" t="s">
        <v>811</v>
      </c>
      <c r="B63" s="1123"/>
      <c r="C63" s="1123"/>
      <c r="D63" s="1123"/>
      <c r="E63" s="1123"/>
      <c r="F63" s="1123"/>
      <c r="G63" s="1123"/>
      <c r="H63" s="1123"/>
      <c r="I63" s="1123"/>
      <c r="J63" s="1123"/>
      <c r="K63" s="1123"/>
      <c r="S63" s="1123" t="s">
        <v>987</v>
      </c>
      <c r="T63" s="1123"/>
      <c r="U63" s="1123"/>
      <c r="V63" s="1123"/>
      <c r="W63" s="1123"/>
      <c r="X63" s="1123"/>
      <c r="Y63" s="1123"/>
      <c r="Z63" s="1123"/>
      <c r="AA63" s="1123"/>
      <c r="AB63" s="1123"/>
      <c r="AC63" s="1123"/>
    </row>
    <row r="64" spans="1:29" ht="5.0999999999999996" customHeight="1" thickBot="1" x14ac:dyDescent="0.3">
      <c r="A64" s="458"/>
      <c r="B64" s="458"/>
      <c r="C64" s="458"/>
      <c r="D64" s="458"/>
      <c r="E64" s="458"/>
      <c r="F64" s="458"/>
      <c r="G64" s="458"/>
      <c r="H64" s="458"/>
      <c r="I64" s="458"/>
      <c r="J64" s="458"/>
      <c r="K64" s="458"/>
      <c r="S64" s="458"/>
      <c r="T64" s="458"/>
      <c r="U64" s="458"/>
      <c r="V64" s="458"/>
      <c r="W64" s="458"/>
      <c r="X64" s="458"/>
      <c r="Y64" s="458"/>
      <c r="Z64" s="458"/>
      <c r="AA64" s="458"/>
      <c r="AB64" s="458"/>
      <c r="AC64" s="458"/>
    </row>
    <row r="65" spans="1:29" s="147" customFormat="1" ht="15.75" x14ac:dyDescent="0.25">
      <c r="A65" s="459" t="s">
        <v>809</v>
      </c>
      <c r="B65" s="460" t="s">
        <v>39</v>
      </c>
      <c r="C65" s="460" t="s">
        <v>472</v>
      </c>
      <c r="D65" s="1124" t="s">
        <v>810</v>
      </c>
      <c r="E65" s="1124"/>
      <c r="F65" s="1124"/>
      <c r="G65" s="1124"/>
      <c r="H65" s="1124"/>
      <c r="I65" s="460" t="s">
        <v>383</v>
      </c>
      <c r="J65" s="460" t="s">
        <v>40</v>
      </c>
      <c r="K65" s="461" t="s">
        <v>812</v>
      </c>
      <c r="S65" s="459" t="s">
        <v>809</v>
      </c>
      <c r="T65" s="460" t="s">
        <v>39</v>
      </c>
      <c r="U65" s="460" t="s">
        <v>472</v>
      </c>
      <c r="V65" s="1124" t="s">
        <v>810</v>
      </c>
      <c r="W65" s="1124"/>
      <c r="X65" s="1124"/>
      <c r="Y65" s="1124"/>
      <c r="Z65" s="1124"/>
      <c r="AA65" s="460" t="s">
        <v>383</v>
      </c>
      <c r="AB65" s="460" t="s">
        <v>40</v>
      </c>
      <c r="AC65" s="461" t="s">
        <v>812</v>
      </c>
    </row>
    <row r="66" spans="1:29" x14ac:dyDescent="0.25">
      <c r="A66" s="50"/>
      <c r="B66" s="29"/>
      <c r="C66" s="194" t="str" cm="1">
        <f t="array" ref="C66">IF(IFERROR(_xlfn.IFNA(LOOKUP(2,1/('Project SqFt'!$A$18:$A$87=A66)/('Project SqFt'!$B$18:$B$87=B66),'Project SqFt'!$F$18:$F$87),LOOKUP(2,1/('Project SqFt'!$H$18:$H$87=A66)/('Project SqFt'!$I$18:$I$87=B66),'Project SqFt'!$M$18:$M$87)),LOOKUP(2,1/('Project SqFt'!$P$18:$P$87=A66)/('Project SqFt'!$Q$18:$Q$87=B66),'Project SqFt'!$U$18:$U$87))=0,"",IFERROR(_xlfn.IFNA(LOOKUP(2,1/('Project SqFt'!$A$18:$A$87=A66)/('Project SqFt'!$B$18:$B$87=B66),'Project SqFt'!$F$18:$F$87),LOOKUP(2,1/('Project SqFt'!$H$18:$H$87=A66)/('Project SqFt'!$I$18:$I$87=B66),'Project SqFt'!$M$18:$M$87)),LOOKUP(2,1/('Project SqFt'!$P$18:$P$87=A66)/('Project SqFt'!$Q$18:$Q$87=B66),'Project SqFt'!$U$18:$U$87)))</f>
        <v/>
      </c>
      <c r="D66" s="934"/>
      <c r="E66" s="934"/>
      <c r="F66" s="934"/>
      <c r="G66" s="934"/>
      <c r="H66" s="934"/>
      <c r="I66" s="194" t="str" cm="1">
        <f t="array" ref="I66">IF(IFERROR(_xlfn.IFNA(LOOKUP(2,1/('Project SqFt'!$A$18:$A$87=A66)/('Project SqFt'!$B$18:$B$87=B66),'Project SqFt'!$C$18:$C$87),LOOKUP(2,1/('Project SqFt'!$H$18:$H$87=A66)/('Project SqFt'!$I$18:$I$87=B66),'Project SqFt'!$K$18:$K$87)),LOOKUP(2,1/('Project SqFt'!$P$18:$P$87=A66)/('Project SqFt'!$Q$18:$Q$87=B66),'Project SqFt'!$R$18:$R$87))="","",IFERROR(_xlfn.IFNA(LOOKUP(2,1/('Project SqFt'!$A$18:$A$87=A66)/('Project SqFt'!$B$18:$B$87=B66),'Project SqFt'!$C$18:$C$87),LOOKUP(2,1/('Project SqFt'!$H$18:$H$87=A66)/('Project SqFt'!$I$18:$I$87=B66),'Project SqFt'!$K$18:$K$87)),LOOKUP(2,1/('Project SqFt'!$P$18:$P$87=A66)/('Project SqFt'!$Q$18:$Q$87=B66),'Project SqFt'!$R$18:$R$87)))</f>
        <v/>
      </c>
      <c r="J66" s="194" t="str" cm="1">
        <f t="array" ref="J66">IF(IFERROR(_xlfn.IFNA(LOOKUP(2,1/('Project SqFt'!$A$18:$A$87=A66)/('Project SqFt'!$B$18:$B$87=B66),'Project SqFt'!$D$18:$D$87),LOOKUP(2,1/('Project SqFt'!$H$18:$H$87=A66)/('Project SqFt'!$I$18:$I$87=B66),'Project SqFt'!$L$18:$L$87)),LOOKUP(2,1/('Project SqFt'!$P$18:$P$87=A66)/('Project SqFt'!$Q$18:$Q$87=B66),'Project SqFt'!$T$18:$T$87))="","",IFERROR(_xlfn.IFNA(LOOKUP(2,1/('Project SqFt'!$A$18:$A$87=A66)/('Project SqFt'!$B$18:$B$87=B66),'Project SqFt'!$D$18:$D$87),LOOKUP(2,1/('Project SqFt'!$H$18:$H$87=A66)/('Project SqFt'!$I$18:$I$87=B66),'Project SqFt'!$L$18:$L$87)),LOOKUP(2,1/('Project SqFt'!$P$18:$P$87=A66)/('Project SqFt'!$Q$18:$Q$87=B66),'Project SqFt'!$T$18:$T$87)))</f>
        <v/>
      </c>
      <c r="K66" s="296" t="str">
        <f>IFERROR(ROUNDDOWN(H49*I66,0),"")</f>
        <v/>
      </c>
      <c r="S66" s="50"/>
      <c r="T66" s="29"/>
      <c r="U66" s="194" t="str" cm="1">
        <f t="array" ref="U66">IF(IFERROR(_xlfn.IFNA(LOOKUP(2,1/('Project SqFt'!$A$18:$A$87=S66)/('Project SqFt'!$B$18:$B$87=T66),'Project SqFt'!$F$18:$F$87),LOOKUP(2,1/('Project SqFt'!$H$18:$H$87=S66)/('Project SqFt'!$I$18:$I$87=T66),'Project SqFt'!$M$18:$M$87)),LOOKUP(2,1/('Project SqFt'!$P$18:$P$87=S66)/('Project SqFt'!$Q$18:$Q$87=T66),'Project SqFt'!$U$18:$U$87))=0,"",IFERROR(_xlfn.IFNA(LOOKUP(2,1/('Project SqFt'!$A$18:$A$87=S66)/('Project SqFt'!$B$18:$B$87=T66),'Project SqFt'!$F$18:$F$87),LOOKUP(2,1/('Project SqFt'!$H$18:$H$87=S66)/('Project SqFt'!$I$18:$I$87=T66),'Project SqFt'!$M$18:$M$87)),LOOKUP(2,1/('Project SqFt'!$P$18:$P$87=S66)/('Project SqFt'!$Q$18:$Q$87=T66),'Project SqFt'!$U$18:$U$87)))</f>
        <v/>
      </c>
      <c r="V66" s="934"/>
      <c r="W66" s="934"/>
      <c r="X66" s="934"/>
      <c r="Y66" s="934"/>
      <c r="Z66" s="934"/>
      <c r="AA66" s="194" t="str" cm="1">
        <f t="array" ref="AA66">IF(IFERROR(_xlfn.IFNA(LOOKUP(2,1/('Project SqFt'!$A$18:$A$87=S66)/('Project SqFt'!$B$18:$B$87=T66),'Project SqFt'!$C$18:$C$87),LOOKUP(2,1/('Project SqFt'!$H$18:$H$87=S66)/('Project SqFt'!$I$18:$I$87=T66),'Project SqFt'!$K$18:$K$87)),LOOKUP(2,1/('Project SqFt'!$P$18:$P$87=S66)/('Project SqFt'!$Q$18:$Q$87=T66),'Project SqFt'!$R$18:$R$87))="","",IFERROR(_xlfn.IFNA(LOOKUP(2,1/('Project SqFt'!$A$18:$A$87=S66)/('Project SqFt'!$B$18:$B$87=T66),'Project SqFt'!$C$18:$C$87),LOOKUP(2,1/('Project SqFt'!$H$18:$H$87=S66)/('Project SqFt'!$I$18:$I$87=T66),'Project SqFt'!$K$18:$K$87)),LOOKUP(2,1/('Project SqFt'!$P$18:$P$87=S66)/('Project SqFt'!$Q$18:$Q$87=T66),'Project SqFt'!$R$18:$R$87)))</f>
        <v/>
      </c>
      <c r="AB66" s="194" t="str" cm="1">
        <f t="array" ref="AB66">IF(IFERROR(_xlfn.IFNA(LOOKUP(2,1/('Project SqFt'!$A$18:$A$87=S66)/('Project SqFt'!$B$18:$B$87=T66),'Project SqFt'!$D$18:$D$87),LOOKUP(2,1/('Project SqFt'!$H$18:$H$87=S66)/('Project SqFt'!$I$18:$I$87=T66),'Project SqFt'!$L$18:$L$87)),LOOKUP(2,1/('Project SqFt'!$P$18:$P$87=S66)/('Project SqFt'!$Q$18:$Q$87=T66),'Project SqFt'!$T$18:$T$87))="","",IFERROR(_xlfn.IFNA(LOOKUP(2,1/('Project SqFt'!$A$18:$A$87=S66)/('Project SqFt'!$B$18:$B$87=T66),'Project SqFt'!$D$18:$D$87),LOOKUP(2,1/('Project SqFt'!$H$18:$H$87=S66)/('Project SqFt'!$I$18:$I$87=T66),'Project SqFt'!$L$18:$L$87)),LOOKUP(2,1/('Project SqFt'!$P$18:$P$87=S66)/('Project SqFt'!$Q$18:$Q$87=T66),'Project SqFt'!$T$18:$T$87)))</f>
        <v/>
      </c>
      <c r="AC66" s="296" t="str">
        <f>IFERROR(ROUNDDOWN(Z49*AA66,0),"")</f>
        <v/>
      </c>
    </row>
    <row r="67" spans="1:29" x14ac:dyDescent="0.25">
      <c r="A67" s="50"/>
      <c r="B67" s="29"/>
      <c r="C67" s="194" t="str" cm="1">
        <f t="array" ref="C67">IF(IFERROR(_xlfn.IFNA(LOOKUP(2,1/('Project SqFt'!$A$18:$A$87=A67)/('Project SqFt'!$B$18:$B$87=B67),'Project SqFt'!$F$18:$F$87),LOOKUP(2,1/('Project SqFt'!$H$18:$H$87=A67)/('Project SqFt'!$I$18:$I$87=B67),'Project SqFt'!$M$18:$M$87)),LOOKUP(2,1/('Project SqFt'!$P$18:$P$87=A67)/('Project SqFt'!$Q$18:$Q$87=B67),'Project SqFt'!$U$18:$U$87))=0,"",IFERROR(_xlfn.IFNA(LOOKUP(2,1/('Project SqFt'!$A$18:$A$87=A67)/('Project SqFt'!$B$18:$B$87=B67),'Project SqFt'!$F$18:$F$87),LOOKUP(2,1/('Project SqFt'!$H$18:$H$87=A67)/('Project SqFt'!$I$18:$I$87=B67),'Project SqFt'!$M$18:$M$87)),LOOKUP(2,1/('Project SqFt'!$P$18:$P$87=A67)/('Project SqFt'!$Q$18:$Q$87=B67),'Project SqFt'!$U$18:$U$87)))</f>
        <v/>
      </c>
      <c r="D67" s="934"/>
      <c r="E67" s="934"/>
      <c r="F67" s="934"/>
      <c r="G67" s="934"/>
      <c r="H67" s="934"/>
      <c r="I67" s="194" t="str" cm="1">
        <f t="array" ref="I67">IF(IFERROR(_xlfn.IFNA(LOOKUP(2,1/('Project SqFt'!$A$18:$A$87=A67)/('Project SqFt'!$B$18:$B$87=B67),'Project SqFt'!$C$18:$C$87),LOOKUP(2,1/('Project SqFt'!$H$18:$H$87=A67)/('Project SqFt'!$I$18:$I$87=B67),'Project SqFt'!$K$18:$K$87)),LOOKUP(2,1/('Project SqFt'!$P$18:$P$87=A67)/('Project SqFt'!$Q$18:$Q$87=B67),'Project SqFt'!$R$18:$R$87))="","",IFERROR(_xlfn.IFNA(LOOKUP(2,1/('Project SqFt'!$A$18:$A$87=A67)/('Project SqFt'!$B$18:$B$87=B67),'Project SqFt'!$C$18:$C$87),LOOKUP(2,1/('Project SqFt'!$H$18:$H$87=A67)/('Project SqFt'!$I$18:$I$87=B67),'Project SqFt'!$K$18:$K$87)),LOOKUP(2,1/('Project SqFt'!$P$18:$P$87=A67)/('Project SqFt'!$Q$18:$Q$87=B67),'Project SqFt'!$R$18:$R$87)))</f>
        <v/>
      </c>
      <c r="J67" s="194" t="str" cm="1">
        <f t="array" ref="J67">IF(IFERROR(_xlfn.IFNA(LOOKUP(2,1/('Project SqFt'!$A$18:$A$87=A67)/('Project SqFt'!$B$18:$B$87=B67),'Project SqFt'!$D$18:$D$87),LOOKUP(2,1/('Project SqFt'!$H$18:$H$87=A67)/('Project SqFt'!$I$18:$I$87=B67),'Project SqFt'!$L$18:$L$87)),LOOKUP(2,1/('Project SqFt'!$P$18:$P$87=A67)/('Project SqFt'!$Q$18:$Q$87=B67),'Project SqFt'!$T$18:$T$87))="","",IFERROR(_xlfn.IFNA(LOOKUP(2,1/('Project SqFt'!$A$18:$A$87=A67)/('Project SqFt'!$B$18:$B$87=B67),'Project SqFt'!$D$18:$D$87),LOOKUP(2,1/('Project SqFt'!$H$18:$H$87=A67)/('Project SqFt'!$I$18:$I$87=B67),'Project SqFt'!$L$18:$L$87)),LOOKUP(2,1/('Project SqFt'!$P$18:$P$87=A67)/('Project SqFt'!$Q$18:$Q$87=B67),'Project SqFt'!$T$18:$T$87)))</f>
        <v/>
      </c>
      <c r="K67" s="296" t="str">
        <f>IFERROR(ROUNDDOWN(H49*I67,0),"")</f>
        <v/>
      </c>
      <c r="S67" s="50"/>
      <c r="T67" s="29"/>
      <c r="U67" s="194" t="str" cm="1">
        <f t="array" ref="U67">IF(IFERROR(_xlfn.IFNA(LOOKUP(2,1/('Project SqFt'!$A$18:$A$87=S67)/('Project SqFt'!$B$18:$B$87=T67),'Project SqFt'!$F$18:$F$87),LOOKUP(2,1/('Project SqFt'!$H$18:$H$87=S67)/('Project SqFt'!$I$18:$I$87=T67),'Project SqFt'!$M$18:$M$87)),LOOKUP(2,1/('Project SqFt'!$P$18:$P$87=S67)/('Project SqFt'!$Q$18:$Q$87=T67),'Project SqFt'!$U$18:$U$87))=0,"",IFERROR(_xlfn.IFNA(LOOKUP(2,1/('Project SqFt'!$A$18:$A$87=S67)/('Project SqFt'!$B$18:$B$87=T67),'Project SqFt'!$F$18:$F$87),LOOKUP(2,1/('Project SqFt'!$H$18:$H$87=S67)/('Project SqFt'!$I$18:$I$87=T67),'Project SqFt'!$M$18:$M$87)),LOOKUP(2,1/('Project SqFt'!$P$18:$P$87=S67)/('Project SqFt'!$Q$18:$Q$87=T67),'Project SqFt'!$U$18:$U$87)))</f>
        <v/>
      </c>
      <c r="V67" s="934"/>
      <c r="W67" s="934"/>
      <c r="X67" s="934"/>
      <c r="Y67" s="934"/>
      <c r="Z67" s="934"/>
      <c r="AA67" s="194" t="str" cm="1">
        <f t="array" ref="AA67">IF(IFERROR(_xlfn.IFNA(LOOKUP(2,1/('Project SqFt'!$A$18:$A$87=S67)/('Project SqFt'!$B$18:$B$87=T67),'Project SqFt'!$C$18:$C$87),LOOKUP(2,1/('Project SqFt'!$H$18:$H$87=S67)/('Project SqFt'!$I$18:$I$87=T67),'Project SqFt'!$K$18:$K$87)),LOOKUP(2,1/('Project SqFt'!$P$18:$P$87=S67)/('Project SqFt'!$Q$18:$Q$87=T67),'Project SqFt'!$R$18:$R$87))="","",IFERROR(_xlfn.IFNA(LOOKUP(2,1/('Project SqFt'!$A$18:$A$87=S67)/('Project SqFt'!$B$18:$B$87=T67),'Project SqFt'!$C$18:$C$87),LOOKUP(2,1/('Project SqFt'!$H$18:$H$87=S67)/('Project SqFt'!$I$18:$I$87=T67),'Project SqFt'!$K$18:$K$87)),LOOKUP(2,1/('Project SqFt'!$P$18:$P$87=S67)/('Project SqFt'!$Q$18:$Q$87=T67),'Project SqFt'!$R$18:$R$87)))</f>
        <v/>
      </c>
      <c r="AB67" s="194" t="str" cm="1">
        <f t="array" ref="AB67">IF(IFERROR(_xlfn.IFNA(LOOKUP(2,1/('Project SqFt'!$A$18:$A$87=S67)/('Project SqFt'!$B$18:$B$87=T67),'Project SqFt'!$D$18:$D$87),LOOKUP(2,1/('Project SqFt'!$H$18:$H$87=S67)/('Project SqFt'!$I$18:$I$87=T67),'Project SqFt'!$L$18:$L$87)),LOOKUP(2,1/('Project SqFt'!$P$18:$P$87=S67)/('Project SqFt'!$Q$18:$Q$87=T67),'Project SqFt'!$T$18:$T$87))="","",IFERROR(_xlfn.IFNA(LOOKUP(2,1/('Project SqFt'!$A$18:$A$87=S67)/('Project SqFt'!$B$18:$B$87=T67),'Project SqFt'!$D$18:$D$87),LOOKUP(2,1/('Project SqFt'!$H$18:$H$87=S67)/('Project SqFt'!$I$18:$I$87=T67),'Project SqFt'!$L$18:$L$87)),LOOKUP(2,1/('Project SqFt'!$P$18:$P$87=S67)/('Project SqFt'!$Q$18:$Q$87=T67),'Project SqFt'!$T$18:$T$87)))</f>
        <v/>
      </c>
      <c r="AC67" s="296" t="str">
        <f>IFERROR(ROUNDDOWN(Z49*AA67,0),"")</f>
        <v/>
      </c>
    </row>
    <row r="68" spans="1:29" x14ac:dyDescent="0.25">
      <c r="A68" s="50"/>
      <c r="B68" s="29"/>
      <c r="C68" s="194" t="str" cm="1">
        <f t="array" ref="C68">IF(IFERROR(_xlfn.IFNA(LOOKUP(2,1/('Project SqFt'!$A$18:$A$87=A68)/('Project SqFt'!$B$18:$B$87=B68),'Project SqFt'!$F$18:$F$87),LOOKUP(2,1/('Project SqFt'!$H$18:$H$87=A68)/('Project SqFt'!$I$18:$I$87=B68),'Project SqFt'!$M$18:$M$87)),LOOKUP(2,1/('Project SqFt'!$P$18:$P$87=A68)/('Project SqFt'!$Q$18:$Q$87=B68),'Project SqFt'!$U$18:$U$87))=0,"",IFERROR(_xlfn.IFNA(LOOKUP(2,1/('Project SqFt'!$A$18:$A$87=A68)/('Project SqFt'!$B$18:$B$87=B68),'Project SqFt'!$F$18:$F$87),LOOKUP(2,1/('Project SqFt'!$H$18:$H$87=A68)/('Project SqFt'!$I$18:$I$87=B68),'Project SqFt'!$M$18:$M$87)),LOOKUP(2,1/('Project SqFt'!$P$18:$P$87=A68)/('Project SqFt'!$Q$18:$Q$87=B68),'Project SqFt'!$U$18:$U$87)))</f>
        <v/>
      </c>
      <c r="D68" s="934"/>
      <c r="E68" s="934"/>
      <c r="F68" s="934"/>
      <c r="G68" s="934"/>
      <c r="H68" s="934"/>
      <c r="I68" s="194" t="str" cm="1">
        <f t="array" ref="I68">IF(IFERROR(_xlfn.IFNA(LOOKUP(2,1/('Project SqFt'!$A$18:$A$87=A68)/('Project SqFt'!$B$18:$B$87=B68),'Project SqFt'!$C$18:$C$87),LOOKUP(2,1/('Project SqFt'!$H$18:$H$87=A68)/('Project SqFt'!$I$18:$I$87=B68),'Project SqFt'!$K$18:$K$87)),LOOKUP(2,1/('Project SqFt'!$P$18:$P$87=A68)/('Project SqFt'!$Q$18:$Q$87=B68),'Project SqFt'!$R$18:$R$87))="","",IFERROR(_xlfn.IFNA(LOOKUP(2,1/('Project SqFt'!$A$18:$A$87=A68)/('Project SqFt'!$B$18:$B$87=B68),'Project SqFt'!$C$18:$C$87),LOOKUP(2,1/('Project SqFt'!$H$18:$H$87=A68)/('Project SqFt'!$I$18:$I$87=B68),'Project SqFt'!$K$18:$K$87)),LOOKUP(2,1/('Project SqFt'!$P$18:$P$87=A68)/('Project SqFt'!$Q$18:$Q$87=B68),'Project SqFt'!$R$18:$R$87)))</f>
        <v/>
      </c>
      <c r="J68" s="194" t="str" cm="1">
        <f t="array" ref="J68">IF(IFERROR(_xlfn.IFNA(LOOKUP(2,1/('Project SqFt'!$A$18:$A$87=A68)/('Project SqFt'!$B$18:$B$87=B68),'Project SqFt'!$D$18:$D$87),LOOKUP(2,1/('Project SqFt'!$H$18:$H$87=A68)/('Project SqFt'!$I$18:$I$87=B68),'Project SqFt'!$L$18:$L$87)),LOOKUP(2,1/('Project SqFt'!$P$18:$P$87=A68)/('Project SqFt'!$Q$18:$Q$87=B68),'Project SqFt'!$T$18:$T$87))="","",IFERROR(_xlfn.IFNA(LOOKUP(2,1/('Project SqFt'!$A$18:$A$87=A68)/('Project SqFt'!$B$18:$B$87=B68),'Project SqFt'!$D$18:$D$87),LOOKUP(2,1/('Project SqFt'!$H$18:$H$87=A68)/('Project SqFt'!$I$18:$I$87=B68),'Project SqFt'!$L$18:$L$87)),LOOKUP(2,1/('Project SqFt'!$P$18:$P$87=A68)/('Project SqFt'!$Q$18:$Q$87=B68),'Project SqFt'!$T$18:$T$87)))</f>
        <v/>
      </c>
      <c r="K68" s="296" t="str">
        <f>IFERROR(ROUNDDOWN(H49*I68,0),"")</f>
        <v/>
      </c>
      <c r="S68" s="50"/>
      <c r="T68" s="29"/>
      <c r="U68" s="194" t="str" cm="1">
        <f t="array" ref="U68">IF(IFERROR(_xlfn.IFNA(LOOKUP(2,1/('Project SqFt'!$A$18:$A$87=S68)/('Project SqFt'!$B$18:$B$87=T68),'Project SqFt'!$F$18:$F$87),LOOKUP(2,1/('Project SqFt'!$H$18:$H$87=S68)/('Project SqFt'!$I$18:$I$87=T68),'Project SqFt'!$M$18:$M$87)),LOOKUP(2,1/('Project SqFt'!$P$18:$P$87=S68)/('Project SqFt'!$Q$18:$Q$87=T68),'Project SqFt'!$U$18:$U$87))=0,"",IFERROR(_xlfn.IFNA(LOOKUP(2,1/('Project SqFt'!$A$18:$A$87=S68)/('Project SqFt'!$B$18:$B$87=T68),'Project SqFt'!$F$18:$F$87),LOOKUP(2,1/('Project SqFt'!$H$18:$H$87=S68)/('Project SqFt'!$I$18:$I$87=T68),'Project SqFt'!$M$18:$M$87)),LOOKUP(2,1/('Project SqFt'!$P$18:$P$87=S68)/('Project SqFt'!$Q$18:$Q$87=T68),'Project SqFt'!$U$18:$U$87)))</f>
        <v/>
      </c>
      <c r="V68" s="934"/>
      <c r="W68" s="934"/>
      <c r="X68" s="934"/>
      <c r="Y68" s="934"/>
      <c r="Z68" s="934"/>
      <c r="AA68" s="194" t="str" cm="1">
        <f t="array" ref="AA68">IF(IFERROR(_xlfn.IFNA(LOOKUP(2,1/('Project SqFt'!$A$18:$A$87=S68)/('Project SqFt'!$B$18:$B$87=T68),'Project SqFt'!$C$18:$C$87),LOOKUP(2,1/('Project SqFt'!$H$18:$H$87=S68)/('Project SqFt'!$I$18:$I$87=T68),'Project SqFt'!$K$18:$K$87)),LOOKUP(2,1/('Project SqFt'!$P$18:$P$87=S68)/('Project SqFt'!$Q$18:$Q$87=T68),'Project SqFt'!$R$18:$R$87))="","",IFERROR(_xlfn.IFNA(LOOKUP(2,1/('Project SqFt'!$A$18:$A$87=S68)/('Project SqFt'!$B$18:$B$87=T68),'Project SqFt'!$C$18:$C$87),LOOKUP(2,1/('Project SqFt'!$H$18:$H$87=S68)/('Project SqFt'!$I$18:$I$87=T68),'Project SqFt'!$K$18:$K$87)),LOOKUP(2,1/('Project SqFt'!$P$18:$P$87=S68)/('Project SqFt'!$Q$18:$Q$87=T68),'Project SqFt'!$R$18:$R$87)))</f>
        <v/>
      </c>
      <c r="AB68" s="194" t="str" cm="1">
        <f t="array" ref="AB68">IF(IFERROR(_xlfn.IFNA(LOOKUP(2,1/('Project SqFt'!$A$18:$A$87=S68)/('Project SqFt'!$B$18:$B$87=T68),'Project SqFt'!$D$18:$D$87),LOOKUP(2,1/('Project SqFt'!$H$18:$H$87=S68)/('Project SqFt'!$I$18:$I$87=T68),'Project SqFt'!$L$18:$L$87)),LOOKUP(2,1/('Project SqFt'!$P$18:$P$87=S68)/('Project SqFt'!$Q$18:$Q$87=T68),'Project SqFt'!$T$18:$T$87))="","",IFERROR(_xlfn.IFNA(LOOKUP(2,1/('Project SqFt'!$A$18:$A$87=S68)/('Project SqFt'!$B$18:$B$87=T68),'Project SqFt'!$D$18:$D$87),LOOKUP(2,1/('Project SqFt'!$H$18:$H$87=S68)/('Project SqFt'!$I$18:$I$87=T68),'Project SqFt'!$L$18:$L$87)),LOOKUP(2,1/('Project SqFt'!$P$18:$P$87=S68)/('Project SqFt'!$Q$18:$Q$87=T68),'Project SqFt'!$T$18:$T$87)))</f>
        <v/>
      </c>
      <c r="AC68" s="296" t="str">
        <f>IFERROR(ROUNDDOWN(Z49*AA68,0),"")</f>
        <v/>
      </c>
    </row>
    <row r="69" spans="1:29" x14ac:dyDescent="0.25">
      <c r="A69" s="50"/>
      <c r="B69" s="29"/>
      <c r="C69" s="194" t="str" cm="1">
        <f t="array" ref="C69">IF(IFERROR(_xlfn.IFNA(LOOKUP(2,1/('Project SqFt'!$A$18:$A$87=A69)/('Project SqFt'!$B$18:$B$87=B69),'Project SqFt'!$F$18:$F$87),LOOKUP(2,1/('Project SqFt'!$H$18:$H$87=A69)/('Project SqFt'!$I$18:$I$87=B69),'Project SqFt'!$M$18:$M$87)),LOOKUP(2,1/('Project SqFt'!$P$18:$P$87=A69)/('Project SqFt'!$Q$18:$Q$87=B69),'Project SqFt'!$U$18:$U$87))=0,"",IFERROR(_xlfn.IFNA(LOOKUP(2,1/('Project SqFt'!$A$18:$A$87=A69)/('Project SqFt'!$B$18:$B$87=B69),'Project SqFt'!$F$18:$F$87),LOOKUP(2,1/('Project SqFt'!$H$18:$H$87=A69)/('Project SqFt'!$I$18:$I$87=B69),'Project SqFt'!$M$18:$M$87)),LOOKUP(2,1/('Project SqFt'!$P$18:$P$87=A69)/('Project SqFt'!$Q$18:$Q$87=B69),'Project SqFt'!$U$18:$U$87)))</f>
        <v/>
      </c>
      <c r="D69" s="934"/>
      <c r="E69" s="934"/>
      <c r="F69" s="934"/>
      <c r="G69" s="934"/>
      <c r="H69" s="934"/>
      <c r="I69" s="194" t="str" cm="1">
        <f t="array" ref="I69">IF(IFERROR(_xlfn.IFNA(LOOKUP(2,1/('Project SqFt'!$A$18:$A$87=A69)/('Project SqFt'!$B$18:$B$87=B69),'Project SqFt'!$C$18:$C$87),LOOKUP(2,1/('Project SqFt'!$H$18:$H$87=A69)/('Project SqFt'!$I$18:$I$87=B69),'Project SqFt'!$K$18:$K$87)),LOOKUP(2,1/('Project SqFt'!$P$18:$P$87=A69)/('Project SqFt'!$Q$18:$Q$87=B69),'Project SqFt'!$R$18:$R$87))="","",IFERROR(_xlfn.IFNA(LOOKUP(2,1/('Project SqFt'!$A$18:$A$87=A69)/('Project SqFt'!$B$18:$B$87=B69),'Project SqFt'!$C$18:$C$87),LOOKUP(2,1/('Project SqFt'!$H$18:$H$87=A69)/('Project SqFt'!$I$18:$I$87=B69),'Project SqFt'!$K$18:$K$87)),LOOKUP(2,1/('Project SqFt'!$P$18:$P$87=A69)/('Project SqFt'!$Q$18:$Q$87=B69),'Project SqFt'!$R$18:$R$87)))</f>
        <v/>
      </c>
      <c r="J69" s="194" t="str" cm="1">
        <f t="array" ref="J69">IF(IFERROR(_xlfn.IFNA(LOOKUP(2,1/('Project SqFt'!$A$18:$A$87=A69)/('Project SqFt'!$B$18:$B$87=B69),'Project SqFt'!$D$18:$D$87),LOOKUP(2,1/('Project SqFt'!$H$18:$H$87=A69)/('Project SqFt'!$I$18:$I$87=B69),'Project SqFt'!$L$18:$L$87)),LOOKUP(2,1/('Project SqFt'!$P$18:$P$87=A69)/('Project SqFt'!$Q$18:$Q$87=B69),'Project SqFt'!$T$18:$T$87))="","",IFERROR(_xlfn.IFNA(LOOKUP(2,1/('Project SqFt'!$A$18:$A$87=A69)/('Project SqFt'!$B$18:$B$87=B69),'Project SqFt'!$D$18:$D$87),LOOKUP(2,1/('Project SqFt'!$H$18:$H$87=A69)/('Project SqFt'!$I$18:$I$87=B69),'Project SqFt'!$L$18:$L$87)),LOOKUP(2,1/('Project SqFt'!$P$18:$P$87=A69)/('Project SqFt'!$Q$18:$Q$87=B69),'Project SqFt'!$T$18:$T$87)))</f>
        <v/>
      </c>
      <c r="K69" s="296" t="str">
        <f>IFERROR(ROUNDDOWN(H49*I69,0),"")</f>
        <v/>
      </c>
      <c r="S69" s="50"/>
      <c r="T69" s="29"/>
      <c r="U69" s="194" t="str" cm="1">
        <f t="array" ref="U69">IF(IFERROR(_xlfn.IFNA(LOOKUP(2,1/('Project SqFt'!$A$18:$A$87=S69)/('Project SqFt'!$B$18:$B$87=T69),'Project SqFt'!$F$18:$F$87),LOOKUP(2,1/('Project SqFt'!$H$18:$H$87=S69)/('Project SqFt'!$I$18:$I$87=T69),'Project SqFt'!$M$18:$M$87)),LOOKUP(2,1/('Project SqFt'!$P$18:$P$87=S69)/('Project SqFt'!$Q$18:$Q$87=T69),'Project SqFt'!$U$18:$U$87))=0,"",IFERROR(_xlfn.IFNA(LOOKUP(2,1/('Project SqFt'!$A$18:$A$87=S69)/('Project SqFt'!$B$18:$B$87=T69),'Project SqFt'!$F$18:$F$87),LOOKUP(2,1/('Project SqFt'!$H$18:$H$87=S69)/('Project SqFt'!$I$18:$I$87=T69),'Project SqFt'!$M$18:$M$87)),LOOKUP(2,1/('Project SqFt'!$P$18:$P$87=S69)/('Project SqFt'!$Q$18:$Q$87=T69),'Project SqFt'!$U$18:$U$87)))</f>
        <v/>
      </c>
      <c r="V69" s="934"/>
      <c r="W69" s="934"/>
      <c r="X69" s="934"/>
      <c r="Y69" s="934"/>
      <c r="Z69" s="934"/>
      <c r="AA69" s="194" t="str" cm="1">
        <f t="array" ref="AA69">IF(IFERROR(_xlfn.IFNA(LOOKUP(2,1/('Project SqFt'!$A$18:$A$87=S69)/('Project SqFt'!$B$18:$B$87=T69),'Project SqFt'!$C$18:$C$87),LOOKUP(2,1/('Project SqFt'!$H$18:$H$87=S69)/('Project SqFt'!$I$18:$I$87=T69),'Project SqFt'!$K$18:$K$87)),LOOKUP(2,1/('Project SqFt'!$P$18:$P$87=S69)/('Project SqFt'!$Q$18:$Q$87=T69),'Project SqFt'!$R$18:$R$87))="","",IFERROR(_xlfn.IFNA(LOOKUP(2,1/('Project SqFt'!$A$18:$A$87=S69)/('Project SqFt'!$B$18:$B$87=T69),'Project SqFt'!$C$18:$C$87),LOOKUP(2,1/('Project SqFt'!$H$18:$H$87=S69)/('Project SqFt'!$I$18:$I$87=T69),'Project SqFt'!$K$18:$K$87)),LOOKUP(2,1/('Project SqFt'!$P$18:$P$87=S69)/('Project SqFt'!$Q$18:$Q$87=T69),'Project SqFt'!$R$18:$R$87)))</f>
        <v/>
      </c>
      <c r="AB69" s="194" t="str" cm="1">
        <f t="array" ref="AB69">IF(IFERROR(_xlfn.IFNA(LOOKUP(2,1/('Project SqFt'!$A$18:$A$87=S69)/('Project SqFt'!$B$18:$B$87=T69),'Project SqFt'!$D$18:$D$87),LOOKUP(2,1/('Project SqFt'!$H$18:$H$87=S69)/('Project SqFt'!$I$18:$I$87=T69),'Project SqFt'!$L$18:$L$87)),LOOKUP(2,1/('Project SqFt'!$P$18:$P$87=S69)/('Project SqFt'!$Q$18:$Q$87=T69),'Project SqFt'!$T$18:$T$87))="","",IFERROR(_xlfn.IFNA(LOOKUP(2,1/('Project SqFt'!$A$18:$A$87=S69)/('Project SqFt'!$B$18:$B$87=T69),'Project SqFt'!$D$18:$D$87),LOOKUP(2,1/('Project SqFt'!$H$18:$H$87=S69)/('Project SqFt'!$I$18:$I$87=T69),'Project SqFt'!$L$18:$L$87)),LOOKUP(2,1/('Project SqFt'!$P$18:$P$87=S69)/('Project SqFt'!$Q$18:$Q$87=T69),'Project SqFt'!$T$18:$T$87)))</f>
        <v/>
      </c>
      <c r="AC69" s="296" t="str">
        <f>IFERROR(ROUNDDOWN(Z49*AA69,0),"")</f>
        <v/>
      </c>
    </row>
    <row r="70" spans="1:29" x14ac:dyDescent="0.25">
      <c r="A70" s="50"/>
      <c r="B70" s="29"/>
      <c r="C70" s="194" t="str" cm="1">
        <f t="array" ref="C70">IF(IFERROR(_xlfn.IFNA(LOOKUP(2,1/('Project SqFt'!$A$18:$A$87=A70)/('Project SqFt'!$B$18:$B$87=B70),'Project SqFt'!$F$18:$F$87),LOOKUP(2,1/('Project SqFt'!$H$18:$H$87=A70)/('Project SqFt'!$I$18:$I$87=B70),'Project SqFt'!$M$18:$M$87)),LOOKUP(2,1/('Project SqFt'!$P$18:$P$87=A70)/('Project SqFt'!$Q$18:$Q$87=B70),'Project SqFt'!$U$18:$U$87))=0,"",IFERROR(_xlfn.IFNA(LOOKUP(2,1/('Project SqFt'!$A$18:$A$87=A70)/('Project SqFt'!$B$18:$B$87=B70),'Project SqFt'!$F$18:$F$87),LOOKUP(2,1/('Project SqFt'!$H$18:$H$87=A70)/('Project SqFt'!$I$18:$I$87=B70),'Project SqFt'!$M$18:$M$87)),LOOKUP(2,1/('Project SqFt'!$P$18:$P$87=A70)/('Project SqFt'!$Q$18:$Q$87=B70),'Project SqFt'!$U$18:$U$87)))</f>
        <v/>
      </c>
      <c r="D70" s="934"/>
      <c r="E70" s="934"/>
      <c r="F70" s="934"/>
      <c r="G70" s="934"/>
      <c r="H70" s="934"/>
      <c r="I70" s="194" t="str" cm="1">
        <f t="array" ref="I70">IF(IFERROR(_xlfn.IFNA(LOOKUP(2,1/('Project SqFt'!$A$18:$A$87=A70)/('Project SqFt'!$B$18:$B$87=B70),'Project SqFt'!$C$18:$C$87),LOOKUP(2,1/('Project SqFt'!$H$18:$H$87=A70)/('Project SqFt'!$I$18:$I$87=B70),'Project SqFt'!$K$18:$K$87)),LOOKUP(2,1/('Project SqFt'!$P$18:$P$87=A70)/('Project SqFt'!$Q$18:$Q$87=B70),'Project SqFt'!$R$18:$R$87))="","",IFERROR(_xlfn.IFNA(LOOKUP(2,1/('Project SqFt'!$A$18:$A$87=A70)/('Project SqFt'!$B$18:$B$87=B70),'Project SqFt'!$C$18:$C$87),LOOKUP(2,1/('Project SqFt'!$H$18:$H$87=A70)/('Project SqFt'!$I$18:$I$87=B70),'Project SqFt'!$K$18:$K$87)),LOOKUP(2,1/('Project SqFt'!$P$18:$P$87=A70)/('Project SqFt'!$Q$18:$Q$87=B70),'Project SqFt'!$R$18:$R$87)))</f>
        <v/>
      </c>
      <c r="J70" s="194" t="str" cm="1">
        <f t="array" ref="J70">IF(IFERROR(_xlfn.IFNA(LOOKUP(2,1/('Project SqFt'!$A$18:$A$87=A70)/('Project SqFt'!$B$18:$B$87=B70),'Project SqFt'!$D$18:$D$87),LOOKUP(2,1/('Project SqFt'!$H$18:$H$87=A70)/('Project SqFt'!$I$18:$I$87=B70),'Project SqFt'!$L$18:$L$87)),LOOKUP(2,1/('Project SqFt'!$P$18:$P$87=A70)/('Project SqFt'!$Q$18:$Q$87=B70),'Project SqFt'!$T$18:$T$87))="","",IFERROR(_xlfn.IFNA(LOOKUP(2,1/('Project SqFt'!$A$18:$A$87=A70)/('Project SqFt'!$B$18:$B$87=B70),'Project SqFt'!$D$18:$D$87),LOOKUP(2,1/('Project SqFt'!$H$18:$H$87=A70)/('Project SqFt'!$I$18:$I$87=B70),'Project SqFt'!$L$18:$L$87)),LOOKUP(2,1/('Project SqFt'!$P$18:$P$87=A70)/('Project SqFt'!$Q$18:$Q$87=B70),'Project SqFt'!$T$18:$T$87)))</f>
        <v/>
      </c>
      <c r="K70" s="296" t="str">
        <f>IFERROR(ROUNDDOWN(H49*I70,0),"")</f>
        <v/>
      </c>
      <c r="S70" s="50"/>
      <c r="T70" s="29"/>
      <c r="U70" s="194" t="str" cm="1">
        <f t="array" ref="U70">IF(IFERROR(_xlfn.IFNA(LOOKUP(2,1/('Project SqFt'!$A$18:$A$87=S70)/('Project SqFt'!$B$18:$B$87=T70),'Project SqFt'!$F$18:$F$87),LOOKUP(2,1/('Project SqFt'!$H$18:$H$87=S70)/('Project SqFt'!$I$18:$I$87=T70),'Project SqFt'!$M$18:$M$87)),LOOKUP(2,1/('Project SqFt'!$P$18:$P$87=S70)/('Project SqFt'!$Q$18:$Q$87=T70),'Project SqFt'!$U$18:$U$87))=0,"",IFERROR(_xlfn.IFNA(LOOKUP(2,1/('Project SqFt'!$A$18:$A$87=S70)/('Project SqFt'!$B$18:$B$87=T70),'Project SqFt'!$F$18:$F$87),LOOKUP(2,1/('Project SqFt'!$H$18:$H$87=S70)/('Project SqFt'!$I$18:$I$87=T70),'Project SqFt'!$M$18:$M$87)),LOOKUP(2,1/('Project SqFt'!$P$18:$P$87=S70)/('Project SqFt'!$Q$18:$Q$87=T70),'Project SqFt'!$U$18:$U$87)))</f>
        <v/>
      </c>
      <c r="V70" s="934"/>
      <c r="W70" s="934"/>
      <c r="X70" s="934"/>
      <c r="Y70" s="934"/>
      <c r="Z70" s="934"/>
      <c r="AA70" s="194" t="str" cm="1">
        <f t="array" ref="AA70">IF(IFERROR(_xlfn.IFNA(LOOKUP(2,1/('Project SqFt'!$A$18:$A$87=S70)/('Project SqFt'!$B$18:$B$87=T70),'Project SqFt'!$C$18:$C$87),LOOKUP(2,1/('Project SqFt'!$H$18:$H$87=S70)/('Project SqFt'!$I$18:$I$87=T70),'Project SqFt'!$K$18:$K$87)),LOOKUP(2,1/('Project SqFt'!$P$18:$P$87=S70)/('Project SqFt'!$Q$18:$Q$87=T70),'Project SqFt'!$R$18:$R$87))="","",IFERROR(_xlfn.IFNA(LOOKUP(2,1/('Project SqFt'!$A$18:$A$87=S70)/('Project SqFt'!$B$18:$B$87=T70),'Project SqFt'!$C$18:$C$87),LOOKUP(2,1/('Project SqFt'!$H$18:$H$87=S70)/('Project SqFt'!$I$18:$I$87=T70),'Project SqFt'!$K$18:$K$87)),LOOKUP(2,1/('Project SqFt'!$P$18:$P$87=S70)/('Project SqFt'!$Q$18:$Q$87=T70),'Project SqFt'!$R$18:$R$87)))</f>
        <v/>
      </c>
      <c r="AB70" s="194" t="str" cm="1">
        <f t="array" ref="AB70">IF(IFERROR(_xlfn.IFNA(LOOKUP(2,1/('Project SqFt'!$A$18:$A$87=S70)/('Project SqFt'!$B$18:$B$87=T70),'Project SqFt'!$D$18:$D$87),LOOKUP(2,1/('Project SqFt'!$H$18:$H$87=S70)/('Project SqFt'!$I$18:$I$87=T70),'Project SqFt'!$L$18:$L$87)),LOOKUP(2,1/('Project SqFt'!$P$18:$P$87=S70)/('Project SqFt'!$Q$18:$Q$87=T70),'Project SqFt'!$T$18:$T$87))="","",IFERROR(_xlfn.IFNA(LOOKUP(2,1/('Project SqFt'!$A$18:$A$87=S70)/('Project SqFt'!$B$18:$B$87=T70),'Project SqFt'!$D$18:$D$87),LOOKUP(2,1/('Project SqFt'!$H$18:$H$87=S70)/('Project SqFt'!$I$18:$I$87=T70),'Project SqFt'!$L$18:$L$87)),LOOKUP(2,1/('Project SqFt'!$P$18:$P$87=S70)/('Project SqFt'!$Q$18:$Q$87=T70),'Project SqFt'!$T$18:$T$87)))</f>
        <v/>
      </c>
      <c r="AC70" s="296" t="str">
        <f>IFERROR(ROUNDDOWN(Z49*AA70,0),"")</f>
        <v/>
      </c>
    </row>
    <row r="71" spans="1:29" x14ac:dyDescent="0.25">
      <c r="A71" s="50"/>
      <c r="B71" s="29"/>
      <c r="C71" s="194" t="str" cm="1">
        <f t="array" ref="C71">IF(IFERROR(_xlfn.IFNA(LOOKUP(2,1/('Project SqFt'!$A$18:$A$87=A71)/('Project SqFt'!$B$18:$B$87=B71),'Project SqFt'!$F$18:$F$87),LOOKUP(2,1/('Project SqFt'!$H$18:$H$87=A71)/('Project SqFt'!$I$18:$I$87=B71),'Project SqFt'!$M$18:$M$87)),LOOKUP(2,1/('Project SqFt'!$P$18:$P$87=A71)/('Project SqFt'!$Q$18:$Q$87=B71),'Project SqFt'!$U$18:$U$87))=0,"",IFERROR(_xlfn.IFNA(LOOKUP(2,1/('Project SqFt'!$A$18:$A$87=A71)/('Project SqFt'!$B$18:$B$87=B71),'Project SqFt'!$F$18:$F$87),LOOKUP(2,1/('Project SqFt'!$H$18:$H$87=A71)/('Project SqFt'!$I$18:$I$87=B71),'Project SqFt'!$M$18:$M$87)),LOOKUP(2,1/('Project SqFt'!$P$18:$P$87=A71)/('Project SqFt'!$Q$18:$Q$87=B71),'Project SqFt'!$U$18:$U$87)))</f>
        <v/>
      </c>
      <c r="D71" s="934"/>
      <c r="E71" s="934"/>
      <c r="F71" s="934"/>
      <c r="G71" s="934"/>
      <c r="H71" s="934"/>
      <c r="I71" s="194" t="str" cm="1">
        <f t="array" ref="I71">IF(IFERROR(_xlfn.IFNA(LOOKUP(2,1/('Project SqFt'!$A$18:$A$87=A71)/('Project SqFt'!$B$18:$B$87=B71),'Project SqFt'!$C$18:$C$87),LOOKUP(2,1/('Project SqFt'!$H$18:$H$87=A71)/('Project SqFt'!$I$18:$I$87=B71),'Project SqFt'!$K$18:$K$87)),LOOKUP(2,1/('Project SqFt'!$P$18:$P$87=A71)/('Project SqFt'!$Q$18:$Q$87=B71),'Project SqFt'!$R$18:$R$87))="","",IFERROR(_xlfn.IFNA(LOOKUP(2,1/('Project SqFt'!$A$18:$A$87=A71)/('Project SqFt'!$B$18:$B$87=B71),'Project SqFt'!$C$18:$C$87),LOOKUP(2,1/('Project SqFt'!$H$18:$H$87=A71)/('Project SqFt'!$I$18:$I$87=B71),'Project SqFt'!$K$18:$K$87)),LOOKUP(2,1/('Project SqFt'!$P$18:$P$87=A71)/('Project SqFt'!$Q$18:$Q$87=B71),'Project SqFt'!$R$18:$R$87)))</f>
        <v/>
      </c>
      <c r="J71" s="194" t="str" cm="1">
        <f t="array" ref="J71">IF(IFERROR(_xlfn.IFNA(LOOKUP(2,1/('Project SqFt'!$A$18:$A$87=A71)/('Project SqFt'!$B$18:$B$87=B71),'Project SqFt'!$D$18:$D$87),LOOKUP(2,1/('Project SqFt'!$H$18:$H$87=A71)/('Project SqFt'!$I$18:$I$87=B71),'Project SqFt'!$L$18:$L$87)),LOOKUP(2,1/('Project SqFt'!$P$18:$P$87=A71)/('Project SqFt'!$Q$18:$Q$87=B71),'Project SqFt'!$T$18:$T$87))="","",IFERROR(_xlfn.IFNA(LOOKUP(2,1/('Project SqFt'!$A$18:$A$87=A71)/('Project SqFt'!$B$18:$B$87=B71),'Project SqFt'!$D$18:$D$87),LOOKUP(2,1/('Project SqFt'!$H$18:$H$87=A71)/('Project SqFt'!$I$18:$I$87=B71),'Project SqFt'!$L$18:$L$87)),LOOKUP(2,1/('Project SqFt'!$P$18:$P$87=A71)/('Project SqFt'!$Q$18:$Q$87=B71),'Project SqFt'!$T$18:$T$87)))</f>
        <v/>
      </c>
      <c r="K71" s="296" t="str">
        <f>IFERROR(ROUNDDOWN(H49*I71,0),"")</f>
        <v/>
      </c>
      <c r="S71" s="50"/>
      <c r="T71" s="29"/>
      <c r="U71" s="194" t="str" cm="1">
        <f t="array" ref="U71">IF(IFERROR(_xlfn.IFNA(LOOKUP(2,1/('Project SqFt'!$A$18:$A$87=S71)/('Project SqFt'!$B$18:$B$87=T71),'Project SqFt'!$F$18:$F$87),LOOKUP(2,1/('Project SqFt'!$H$18:$H$87=S71)/('Project SqFt'!$I$18:$I$87=T71),'Project SqFt'!$M$18:$M$87)),LOOKUP(2,1/('Project SqFt'!$P$18:$P$87=S71)/('Project SqFt'!$Q$18:$Q$87=T71),'Project SqFt'!$U$18:$U$87))=0,"",IFERROR(_xlfn.IFNA(LOOKUP(2,1/('Project SqFt'!$A$18:$A$87=S71)/('Project SqFt'!$B$18:$B$87=T71),'Project SqFt'!$F$18:$F$87),LOOKUP(2,1/('Project SqFt'!$H$18:$H$87=S71)/('Project SqFt'!$I$18:$I$87=T71),'Project SqFt'!$M$18:$M$87)),LOOKUP(2,1/('Project SqFt'!$P$18:$P$87=S71)/('Project SqFt'!$Q$18:$Q$87=T71),'Project SqFt'!$U$18:$U$87)))</f>
        <v/>
      </c>
      <c r="V71" s="934"/>
      <c r="W71" s="934"/>
      <c r="X71" s="934"/>
      <c r="Y71" s="934"/>
      <c r="Z71" s="934"/>
      <c r="AA71" s="194" t="str" cm="1">
        <f t="array" ref="AA71">IF(IFERROR(_xlfn.IFNA(LOOKUP(2,1/('Project SqFt'!$A$18:$A$87=S71)/('Project SqFt'!$B$18:$B$87=T71),'Project SqFt'!$C$18:$C$87),LOOKUP(2,1/('Project SqFt'!$H$18:$H$87=S71)/('Project SqFt'!$I$18:$I$87=T71),'Project SqFt'!$K$18:$K$87)),LOOKUP(2,1/('Project SqFt'!$P$18:$P$87=S71)/('Project SqFt'!$Q$18:$Q$87=T71),'Project SqFt'!$R$18:$R$87))="","",IFERROR(_xlfn.IFNA(LOOKUP(2,1/('Project SqFt'!$A$18:$A$87=S71)/('Project SqFt'!$B$18:$B$87=T71),'Project SqFt'!$C$18:$C$87),LOOKUP(2,1/('Project SqFt'!$H$18:$H$87=S71)/('Project SqFt'!$I$18:$I$87=T71),'Project SqFt'!$K$18:$K$87)),LOOKUP(2,1/('Project SqFt'!$P$18:$P$87=S71)/('Project SqFt'!$Q$18:$Q$87=T71),'Project SqFt'!$R$18:$R$87)))</f>
        <v/>
      </c>
      <c r="AB71" s="194" t="str" cm="1">
        <f t="array" ref="AB71">IF(IFERROR(_xlfn.IFNA(LOOKUP(2,1/('Project SqFt'!$A$18:$A$87=S71)/('Project SqFt'!$B$18:$B$87=T71),'Project SqFt'!$D$18:$D$87),LOOKUP(2,1/('Project SqFt'!$H$18:$H$87=S71)/('Project SqFt'!$I$18:$I$87=T71),'Project SqFt'!$L$18:$L$87)),LOOKUP(2,1/('Project SqFt'!$P$18:$P$87=S71)/('Project SqFt'!$Q$18:$Q$87=T71),'Project SqFt'!$T$18:$T$87))="","",IFERROR(_xlfn.IFNA(LOOKUP(2,1/('Project SqFt'!$A$18:$A$87=S71)/('Project SqFt'!$B$18:$B$87=T71),'Project SqFt'!$D$18:$D$87),LOOKUP(2,1/('Project SqFt'!$H$18:$H$87=S71)/('Project SqFt'!$I$18:$I$87=T71),'Project SqFt'!$L$18:$L$87)),LOOKUP(2,1/('Project SqFt'!$P$18:$P$87=S71)/('Project SqFt'!$Q$18:$Q$87=T71),'Project SqFt'!$T$18:$T$87)))</f>
        <v/>
      </c>
      <c r="AC71" s="296" t="str">
        <f>IFERROR(ROUNDDOWN(Z49*AA71,0),"")</f>
        <v/>
      </c>
    </row>
    <row r="72" spans="1:29" x14ac:dyDescent="0.25">
      <c r="A72" s="50"/>
      <c r="B72" s="29"/>
      <c r="C72" s="194" t="str" cm="1">
        <f t="array" ref="C72">IF(IFERROR(_xlfn.IFNA(LOOKUP(2,1/('Project SqFt'!$A$18:$A$87=A72)/('Project SqFt'!$B$18:$B$87=B72),'Project SqFt'!$F$18:$F$87),LOOKUP(2,1/('Project SqFt'!$H$18:$H$87=A72)/('Project SqFt'!$I$18:$I$87=B72),'Project SqFt'!$M$18:$M$87)),LOOKUP(2,1/('Project SqFt'!$P$18:$P$87=A72)/('Project SqFt'!$Q$18:$Q$87=B72),'Project SqFt'!$U$18:$U$87))=0,"",IFERROR(_xlfn.IFNA(LOOKUP(2,1/('Project SqFt'!$A$18:$A$87=A72)/('Project SqFt'!$B$18:$B$87=B72),'Project SqFt'!$F$18:$F$87),LOOKUP(2,1/('Project SqFt'!$H$18:$H$87=A72)/('Project SqFt'!$I$18:$I$87=B72),'Project SqFt'!$M$18:$M$87)),LOOKUP(2,1/('Project SqFt'!$P$18:$P$87=A72)/('Project SqFt'!$Q$18:$Q$87=B72),'Project SqFt'!$U$18:$U$87)))</f>
        <v/>
      </c>
      <c r="D72" s="934"/>
      <c r="E72" s="934"/>
      <c r="F72" s="934"/>
      <c r="G72" s="934"/>
      <c r="H72" s="934"/>
      <c r="I72" s="194" t="str" cm="1">
        <f t="array" ref="I72">IF(IFERROR(_xlfn.IFNA(LOOKUP(2,1/('Project SqFt'!$A$18:$A$87=A72)/('Project SqFt'!$B$18:$B$87=B72),'Project SqFt'!$C$18:$C$87),LOOKUP(2,1/('Project SqFt'!$H$18:$H$87=A72)/('Project SqFt'!$I$18:$I$87=B72),'Project SqFt'!$K$18:$K$87)),LOOKUP(2,1/('Project SqFt'!$P$18:$P$87=A72)/('Project SqFt'!$Q$18:$Q$87=B72),'Project SqFt'!$R$18:$R$87))="","",IFERROR(_xlfn.IFNA(LOOKUP(2,1/('Project SqFt'!$A$18:$A$87=A72)/('Project SqFt'!$B$18:$B$87=B72),'Project SqFt'!$C$18:$C$87),LOOKUP(2,1/('Project SqFt'!$H$18:$H$87=A72)/('Project SqFt'!$I$18:$I$87=B72),'Project SqFt'!$K$18:$K$87)),LOOKUP(2,1/('Project SqFt'!$P$18:$P$87=A72)/('Project SqFt'!$Q$18:$Q$87=B72),'Project SqFt'!$R$18:$R$87)))</f>
        <v/>
      </c>
      <c r="J72" s="194" t="str" cm="1">
        <f t="array" ref="J72">IF(IFERROR(_xlfn.IFNA(LOOKUP(2,1/('Project SqFt'!$A$18:$A$87=A72)/('Project SqFt'!$B$18:$B$87=B72),'Project SqFt'!$D$18:$D$87),LOOKUP(2,1/('Project SqFt'!$H$18:$H$87=A72)/('Project SqFt'!$I$18:$I$87=B72),'Project SqFt'!$L$18:$L$87)),LOOKUP(2,1/('Project SqFt'!$P$18:$P$87=A72)/('Project SqFt'!$Q$18:$Q$87=B72),'Project SqFt'!$T$18:$T$87))="","",IFERROR(_xlfn.IFNA(LOOKUP(2,1/('Project SqFt'!$A$18:$A$87=A72)/('Project SqFt'!$B$18:$B$87=B72),'Project SqFt'!$D$18:$D$87),LOOKUP(2,1/('Project SqFt'!$H$18:$H$87=A72)/('Project SqFt'!$I$18:$I$87=B72),'Project SqFt'!$L$18:$L$87)),LOOKUP(2,1/('Project SqFt'!$P$18:$P$87=A72)/('Project SqFt'!$Q$18:$Q$87=B72),'Project SqFt'!$T$18:$T$87)))</f>
        <v/>
      </c>
      <c r="K72" s="296" t="str">
        <f>IFERROR(ROUNDDOWN(H49*I72,0),"")</f>
        <v/>
      </c>
      <c r="S72" s="50"/>
      <c r="T72" s="29"/>
      <c r="U72" s="194" t="str" cm="1">
        <f t="array" ref="U72">IF(IFERROR(_xlfn.IFNA(LOOKUP(2,1/('Project SqFt'!$A$18:$A$87=S72)/('Project SqFt'!$B$18:$B$87=T72),'Project SqFt'!$F$18:$F$87),LOOKUP(2,1/('Project SqFt'!$H$18:$H$87=S72)/('Project SqFt'!$I$18:$I$87=T72),'Project SqFt'!$M$18:$M$87)),LOOKUP(2,1/('Project SqFt'!$P$18:$P$87=S72)/('Project SqFt'!$Q$18:$Q$87=T72),'Project SqFt'!$U$18:$U$87))=0,"",IFERROR(_xlfn.IFNA(LOOKUP(2,1/('Project SqFt'!$A$18:$A$87=S72)/('Project SqFt'!$B$18:$B$87=T72),'Project SqFt'!$F$18:$F$87),LOOKUP(2,1/('Project SqFt'!$H$18:$H$87=S72)/('Project SqFt'!$I$18:$I$87=T72),'Project SqFt'!$M$18:$M$87)),LOOKUP(2,1/('Project SqFt'!$P$18:$P$87=S72)/('Project SqFt'!$Q$18:$Q$87=T72),'Project SqFt'!$U$18:$U$87)))</f>
        <v/>
      </c>
      <c r="V72" s="934"/>
      <c r="W72" s="934"/>
      <c r="X72" s="934"/>
      <c r="Y72" s="934"/>
      <c r="Z72" s="934"/>
      <c r="AA72" s="194" t="str" cm="1">
        <f t="array" ref="AA72">IF(IFERROR(_xlfn.IFNA(LOOKUP(2,1/('Project SqFt'!$A$18:$A$87=S72)/('Project SqFt'!$B$18:$B$87=T72),'Project SqFt'!$C$18:$C$87),LOOKUP(2,1/('Project SqFt'!$H$18:$H$87=S72)/('Project SqFt'!$I$18:$I$87=T72),'Project SqFt'!$K$18:$K$87)),LOOKUP(2,1/('Project SqFt'!$P$18:$P$87=S72)/('Project SqFt'!$Q$18:$Q$87=T72),'Project SqFt'!$R$18:$R$87))="","",IFERROR(_xlfn.IFNA(LOOKUP(2,1/('Project SqFt'!$A$18:$A$87=S72)/('Project SqFt'!$B$18:$B$87=T72),'Project SqFt'!$C$18:$C$87),LOOKUP(2,1/('Project SqFt'!$H$18:$H$87=S72)/('Project SqFt'!$I$18:$I$87=T72),'Project SqFt'!$K$18:$K$87)),LOOKUP(2,1/('Project SqFt'!$P$18:$P$87=S72)/('Project SqFt'!$Q$18:$Q$87=T72),'Project SqFt'!$R$18:$R$87)))</f>
        <v/>
      </c>
      <c r="AB72" s="194" t="str" cm="1">
        <f t="array" ref="AB72">IF(IFERROR(_xlfn.IFNA(LOOKUP(2,1/('Project SqFt'!$A$18:$A$87=S72)/('Project SqFt'!$B$18:$B$87=T72),'Project SqFt'!$D$18:$D$87),LOOKUP(2,1/('Project SqFt'!$H$18:$H$87=S72)/('Project SqFt'!$I$18:$I$87=T72),'Project SqFt'!$L$18:$L$87)),LOOKUP(2,1/('Project SqFt'!$P$18:$P$87=S72)/('Project SqFt'!$Q$18:$Q$87=T72),'Project SqFt'!$T$18:$T$87))="","",IFERROR(_xlfn.IFNA(LOOKUP(2,1/('Project SqFt'!$A$18:$A$87=S72)/('Project SqFt'!$B$18:$B$87=T72),'Project SqFt'!$D$18:$D$87),LOOKUP(2,1/('Project SqFt'!$H$18:$H$87=S72)/('Project SqFt'!$I$18:$I$87=T72),'Project SqFt'!$L$18:$L$87)),LOOKUP(2,1/('Project SqFt'!$P$18:$P$87=S72)/('Project SqFt'!$Q$18:$Q$87=T72),'Project SqFt'!$T$18:$T$87)))</f>
        <v/>
      </c>
      <c r="AC72" s="296" t="str">
        <f>IFERROR(ROUNDDOWN(Z49*AA72,0),"")</f>
        <v/>
      </c>
    </row>
    <row r="73" spans="1:29" x14ac:dyDescent="0.25">
      <c r="A73" s="50"/>
      <c r="B73" s="29"/>
      <c r="C73" s="194" t="str" cm="1">
        <f t="array" ref="C73">IF(IFERROR(_xlfn.IFNA(LOOKUP(2,1/('Project SqFt'!$A$18:$A$87=A73)/('Project SqFt'!$B$18:$B$87=B73),'Project SqFt'!$F$18:$F$87),LOOKUP(2,1/('Project SqFt'!$H$18:$H$87=A73)/('Project SqFt'!$I$18:$I$87=B73),'Project SqFt'!$M$18:$M$87)),LOOKUP(2,1/('Project SqFt'!$P$18:$P$87=A73)/('Project SqFt'!$Q$18:$Q$87=B73),'Project SqFt'!$U$18:$U$87))=0,"",IFERROR(_xlfn.IFNA(LOOKUP(2,1/('Project SqFt'!$A$18:$A$87=A73)/('Project SqFt'!$B$18:$B$87=B73),'Project SqFt'!$F$18:$F$87),LOOKUP(2,1/('Project SqFt'!$H$18:$H$87=A73)/('Project SqFt'!$I$18:$I$87=B73),'Project SqFt'!$M$18:$M$87)),LOOKUP(2,1/('Project SqFt'!$P$18:$P$87=A73)/('Project SqFt'!$Q$18:$Q$87=B73),'Project SqFt'!$U$18:$U$87)))</f>
        <v/>
      </c>
      <c r="D73" s="934"/>
      <c r="E73" s="934"/>
      <c r="F73" s="934"/>
      <c r="G73" s="934"/>
      <c r="H73" s="934"/>
      <c r="I73" s="194" t="str" cm="1">
        <f t="array" ref="I73">IF(IFERROR(_xlfn.IFNA(LOOKUP(2,1/('Project SqFt'!$A$18:$A$87=A73)/('Project SqFt'!$B$18:$B$87=B73),'Project SqFt'!$C$18:$C$87),LOOKUP(2,1/('Project SqFt'!$H$18:$H$87=A73)/('Project SqFt'!$I$18:$I$87=B73),'Project SqFt'!$K$18:$K$87)),LOOKUP(2,1/('Project SqFt'!$P$18:$P$87=A73)/('Project SqFt'!$Q$18:$Q$87=B73),'Project SqFt'!$R$18:$R$87))="","",IFERROR(_xlfn.IFNA(LOOKUP(2,1/('Project SqFt'!$A$18:$A$87=A73)/('Project SqFt'!$B$18:$B$87=B73),'Project SqFt'!$C$18:$C$87),LOOKUP(2,1/('Project SqFt'!$H$18:$H$87=A73)/('Project SqFt'!$I$18:$I$87=B73),'Project SqFt'!$K$18:$K$87)),LOOKUP(2,1/('Project SqFt'!$P$18:$P$87=A73)/('Project SqFt'!$Q$18:$Q$87=B73),'Project SqFt'!$R$18:$R$87)))</f>
        <v/>
      </c>
      <c r="J73" s="194" t="str" cm="1">
        <f t="array" ref="J73">IF(IFERROR(_xlfn.IFNA(LOOKUP(2,1/('Project SqFt'!$A$18:$A$87=A73)/('Project SqFt'!$B$18:$B$87=B73),'Project SqFt'!$D$18:$D$87),LOOKUP(2,1/('Project SqFt'!$H$18:$H$87=A73)/('Project SqFt'!$I$18:$I$87=B73),'Project SqFt'!$L$18:$L$87)),LOOKUP(2,1/('Project SqFt'!$P$18:$P$87=A73)/('Project SqFt'!$Q$18:$Q$87=B73),'Project SqFt'!$T$18:$T$87))="","",IFERROR(_xlfn.IFNA(LOOKUP(2,1/('Project SqFt'!$A$18:$A$87=A73)/('Project SqFt'!$B$18:$B$87=B73),'Project SqFt'!$D$18:$D$87),LOOKUP(2,1/('Project SqFt'!$H$18:$H$87=A73)/('Project SqFt'!$I$18:$I$87=B73),'Project SqFt'!$L$18:$L$87)),LOOKUP(2,1/('Project SqFt'!$P$18:$P$87=A73)/('Project SqFt'!$Q$18:$Q$87=B73),'Project SqFt'!$T$18:$T$87)))</f>
        <v/>
      </c>
      <c r="K73" s="296" t="str">
        <f>IFERROR(ROUNDDOWN(H49*I73,0),"")</f>
        <v/>
      </c>
      <c r="S73" s="50"/>
      <c r="T73" s="29"/>
      <c r="U73" s="194" t="str" cm="1">
        <f t="array" ref="U73">IF(IFERROR(_xlfn.IFNA(LOOKUP(2,1/('Project SqFt'!$A$18:$A$87=S73)/('Project SqFt'!$B$18:$B$87=T73),'Project SqFt'!$F$18:$F$87),LOOKUP(2,1/('Project SqFt'!$H$18:$H$87=S73)/('Project SqFt'!$I$18:$I$87=T73),'Project SqFt'!$M$18:$M$87)),LOOKUP(2,1/('Project SqFt'!$P$18:$P$87=S73)/('Project SqFt'!$Q$18:$Q$87=T73),'Project SqFt'!$U$18:$U$87))=0,"",IFERROR(_xlfn.IFNA(LOOKUP(2,1/('Project SqFt'!$A$18:$A$87=S73)/('Project SqFt'!$B$18:$B$87=T73),'Project SqFt'!$F$18:$F$87),LOOKUP(2,1/('Project SqFt'!$H$18:$H$87=S73)/('Project SqFt'!$I$18:$I$87=T73),'Project SqFt'!$M$18:$M$87)),LOOKUP(2,1/('Project SqFt'!$P$18:$P$87=S73)/('Project SqFt'!$Q$18:$Q$87=T73),'Project SqFt'!$U$18:$U$87)))</f>
        <v/>
      </c>
      <c r="V73" s="934"/>
      <c r="W73" s="934"/>
      <c r="X73" s="934"/>
      <c r="Y73" s="934"/>
      <c r="Z73" s="934"/>
      <c r="AA73" s="194" t="str" cm="1">
        <f t="array" ref="AA73">IF(IFERROR(_xlfn.IFNA(LOOKUP(2,1/('Project SqFt'!$A$18:$A$87=S73)/('Project SqFt'!$B$18:$B$87=T73),'Project SqFt'!$C$18:$C$87),LOOKUP(2,1/('Project SqFt'!$H$18:$H$87=S73)/('Project SqFt'!$I$18:$I$87=T73),'Project SqFt'!$K$18:$K$87)),LOOKUP(2,1/('Project SqFt'!$P$18:$P$87=S73)/('Project SqFt'!$Q$18:$Q$87=T73),'Project SqFt'!$R$18:$R$87))="","",IFERROR(_xlfn.IFNA(LOOKUP(2,1/('Project SqFt'!$A$18:$A$87=S73)/('Project SqFt'!$B$18:$B$87=T73),'Project SqFt'!$C$18:$C$87),LOOKUP(2,1/('Project SqFt'!$H$18:$H$87=S73)/('Project SqFt'!$I$18:$I$87=T73),'Project SqFt'!$K$18:$K$87)),LOOKUP(2,1/('Project SqFt'!$P$18:$P$87=S73)/('Project SqFt'!$Q$18:$Q$87=T73),'Project SqFt'!$R$18:$R$87)))</f>
        <v/>
      </c>
      <c r="AB73" s="194" t="str" cm="1">
        <f t="array" ref="AB73">IF(IFERROR(_xlfn.IFNA(LOOKUP(2,1/('Project SqFt'!$A$18:$A$87=S73)/('Project SqFt'!$B$18:$B$87=T73),'Project SqFt'!$D$18:$D$87),LOOKUP(2,1/('Project SqFt'!$H$18:$H$87=S73)/('Project SqFt'!$I$18:$I$87=T73),'Project SqFt'!$L$18:$L$87)),LOOKUP(2,1/('Project SqFt'!$P$18:$P$87=S73)/('Project SqFt'!$Q$18:$Q$87=T73),'Project SqFt'!$T$18:$T$87))="","",IFERROR(_xlfn.IFNA(LOOKUP(2,1/('Project SqFt'!$A$18:$A$87=S73)/('Project SqFt'!$B$18:$B$87=T73),'Project SqFt'!$D$18:$D$87),LOOKUP(2,1/('Project SqFt'!$H$18:$H$87=S73)/('Project SqFt'!$I$18:$I$87=T73),'Project SqFt'!$L$18:$L$87)),LOOKUP(2,1/('Project SqFt'!$P$18:$P$87=S73)/('Project SqFt'!$Q$18:$Q$87=T73),'Project SqFt'!$T$18:$T$87)))</f>
        <v/>
      </c>
      <c r="AC73" s="296" t="str">
        <f>IFERROR(ROUNDDOWN(Z49*AA73,0),"")</f>
        <v/>
      </c>
    </row>
    <row r="74" spans="1:29" x14ac:dyDescent="0.25">
      <c r="A74" s="50"/>
      <c r="B74" s="29"/>
      <c r="C74" s="194" t="str" cm="1">
        <f t="array" ref="C74">IF(IFERROR(_xlfn.IFNA(LOOKUP(2,1/('Project SqFt'!$A$18:$A$87=A74)/('Project SqFt'!$B$18:$B$87=B74),'Project SqFt'!$F$18:$F$87),LOOKUP(2,1/('Project SqFt'!$H$18:$H$87=A74)/('Project SqFt'!$I$18:$I$87=B74),'Project SqFt'!$M$18:$M$87)),LOOKUP(2,1/('Project SqFt'!$P$18:$P$87=A74)/('Project SqFt'!$Q$18:$Q$87=B74),'Project SqFt'!$U$18:$U$87))=0,"",IFERROR(_xlfn.IFNA(LOOKUP(2,1/('Project SqFt'!$A$18:$A$87=A74)/('Project SqFt'!$B$18:$B$87=B74),'Project SqFt'!$F$18:$F$87),LOOKUP(2,1/('Project SqFt'!$H$18:$H$87=A74)/('Project SqFt'!$I$18:$I$87=B74),'Project SqFt'!$M$18:$M$87)),LOOKUP(2,1/('Project SqFt'!$P$18:$P$87=A74)/('Project SqFt'!$Q$18:$Q$87=B74),'Project SqFt'!$U$18:$U$87)))</f>
        <v/>
      </c>
      <c r="D74" s="934"/>
      <c r="E74" s="934"/>
      <c r="F74" s="934"/>
      <c r="G74" s="934"/>
      <c r="H74" s="934"/>
      <c r="I74" s="194" t="str" cm="1">
        <f t="array" ref="I74">IF(IFERROR(_xlfn.IFNA(LOOKUP(2,1/('Project SqFt'!$A$18:$A$87=A74)/('Project SqFt'!$B$18:$B$87=B74),'Project SqFt'!$C$18:$C$87),LOOKUP(2,1/('Project SqFt'!$H$18:$H$87=A74)/('Project SqFt'!$I$18:$I$87=B74),'Project SqFt'!$K$18:$K$87)),LOOKUP(2,1/('Project SqFt'!$P$18:$P$87=A74)/('Project SqFt'!$Q$18:$Q$87=B74),'Project SqFt'!$R$18:$R$87))="","",IFERROR(_xlfn.IFNA(LOOKUP(2,1/('Project SqFt'!$A$18:$A$87=A74)/('Project SqFt'!$B$18:$B$87=B74),'Project SqFt'!$C$18:$C$87),LOOKUP(2,1/('Project SqFt'!$H$18:$H$87=A74)/('Project SqFt'!$I$18:$I$87=B74),'Project SqFt'!$K$18:$K$87)),LOOKUP(2,1/('Project SqFt'!$P$18:$P$87=A74)/('Project SqFt'!$Q$18:$Q$87=B74),'Project SqFt'!$R$18:$R$87)))</f>
        <v/>
      </c>
      <c r="J74" s="194" t="str" cm="1">
        <f t="array" ref="J74">IF(IFERROR(_xlfn.IFNA(LOOKUP(2,1/('Project SqFt'!$A$18:$A$87=A74)/('Project SqFt'!$B$18:$B$87=B74),'Project SqFt'!$D$18:$D$87),LOOKUP(2,1/('Project SqFt'!$H$18:$H$87=A74)/('Project SqFt'!$I$18:$I$87=B74),'Project SqFt'!$L$18:$L$87)),LOOKUP(2,1/('Project SqFt'!$P$18:$P$87=A74)/('Project SqFt'!$Q$18:$Q$87=B74),'Project SqFt'!$T$18:$T$87))="","",IFERROR(_xlfn.IFNA(LOOKUP(2,1/('Project SqFt'!$A$18:$A$87=A74)/('Project SqFt'!$B$18:$B$87=B74),'Project SqFt'!$D$18:$D$87),LOOKUP(2,1/('Project SqFt'!$H$18:$H$87=A74)/('Project SqFt'!$I$18:$I$87=B74),'Project SqFt'!$L$18:$L$87)),LOOKUP(2,1/('Project SqFt'!$P$18:$P$87=A74)/('Project SqFt'!$Q$18:$Q$87=B74),'Project SqFt'!$T$18:$T$87)))</f>
        <v/>
      </c>
      <c r="K74" s="296" t="str">
        <f>IFERROR(ROUNDDOWN(H49*I74,0),"")</f>
        <v/>
      </c>
      <c r="S74" s="50"/>
      <c r="T74" s="29"/>
      <c r="U74" s="194" t="str" cm="1">
        <f t="array" ref="U74">IF(IFERROR(_xlfn.IFNA(LOOKUP(2,1/('Project SqFt'!$A$18:$A$87=S74)/('Project SqFt'!$B$18:$B$87=T74),'Project SqFt'!$F$18:$F$87),LOOKUP(2,1/('Project SqFt'!$H$18:$H$87=S74)/('Project SqFt'!$I$18:$I$87=T74),'Project SqFt'!$M$18:$M$87)),LOOKUP(2,1/('Project SqFt'!$P$18:$P$87=S74)/('Project SqFt'!$Q$18:$Q$87=T74),'Project SqFt'!$U$18:$U$87))=0,"",IFERROR(_xlfn.IFNA(LOOKUP(2,1/('Project SqFt'!$A$18:$A$87=S74)/('Project SqFt'!$B$18:$B$87=T74),'Project SqFt'!$F$18:$F$87),LOOKUP(2,1/('Project SqFt'!$H$18:$H$87=S74)/('Project SqFt'!$I$18:$I$87=T74),'Project SqFt'!$M$18:$M$87)),LOOKUP(2,1/('Project SqFt'!$P$18:$P$87=S74)/('Project SqFt'!$Q$18:$Q$87=T74),'Project SqFt'!$U$18:$U$87)))</f>
        <v/>
      </c>
      <c r="V74" s="934"/>
      <c r="W74" s="934"/>
      <c r="X74" s="934"/>
      <c r="Y74" s="934"/>
      <c r="Z74" s="934"/>
      <c r="AA74" s="194" t="str" cm="1">
        <f t="array" ref="AA74">IF(IFERROR(_xlfn.IFNA(LOOKUP(2,1/('Project SqFt'!$A$18:$A$87=S74)/('Project SqFt'!$B$18:$B$87=T74),'Project SqFt'!$C$18:$C$87),LOOKUP(2,1/('Project SqFt'!$H$18:$H$87=S74)/('Project SqFt'!$I$18:$I$87=T74),'Project SqFt'!$K$18:$K$87)),LOOKUP(2,1/('Project SqFt'!$P$18:$P$87=S74)/('Project SqFt'!$Q$18:$Q$87=T74),'Project SqFt'!$R$18:$R$87))="","",IFERROR(_xlfn.IFNA(LOOKUP(2,1/('Project SqFt'!$A$18:$A$87=S74)/('Project SqFt'!$B$18:$B$87=T74),'Project SqFt'!$C$18:$C$87),LOOKUP(2,1/('Project SqFt'!$H$18:$H$87=S74)/('Project SqFt'!$I$18:$I$87=T74),'Project SqFt'!$K$18:$K$87)),LOOKUP(2,1/('Project SqFt'!$P$18:$P$87=S74)/('Project SqFt'!$Q$18:$Q$87=T74),'Project SqFt'!$R$18:$R$87)))</f>
        <v/>
      </c>
      <c r="AB74" s="194" t="str" cm="1">
        <f t="array" ref="AB74">IF(IFERROR(_xlfn.IFNA(LOOKUP(2,1/('Project SqFt'!$A$18:$A$87=S74)/('Project SqFt'!$B$18:$B$87=T74),'Project SqFt'!$D$18:$D$87),LOOKUP(2,1/('Project SqFt'!$H$18:$H$87=S74)/('Project SqFt'!$I$18:$I$87=T74),'Project SqFt'!$L$18:$L$87)),LOOKUP(2,1/('Project SqFt'!$P$18:$P$87=S74)/('Project SqFt'!$Q$18:$Q$87=T74),'Project SqFt'!$T$18:$T$87))="","",IFERROR(_xlfn.IFNA(LOOKUP(2,1/('Project SqFt'!$A$18:$A$87=S74)/('Project SqFt'!$B$18:$B$87=T74),'Project SqFt'!$D$18:$D$87),LOOKUP(2,1/('Project SqFt'!$H$18:$H$87=S74)/('Project SqFt'!$I$18:$I$87=T74),'Project SqFt'!$L$18:$L$87)),LOOKUP(2,1/('Project SqFt'!$P$18:$P$87=S74)/('Project SqFt'!$Q$18:$Q$87=T74),'Project SqFt'!$T$18:$T$87)))</f>
        <v/>
      </c>
      <c r="AC74" s="296" t="str">
        <f>IFERROR(ROUNDDOWN(Z49*AA74,0),"")</f>
        <v/>
      </c>
    </row>
    <row r="75" spans="1:29" x14ac:dyDescent="0.25">
      <c r="A75" s="50"/>
      <c r="B75" s="29"/>
      <c r="C75" s="194" t="str" cm="1">
        <f t="array" ref="C75">IF(IFERROR(_xlfn.IFNA(LOOKUP(2,1/('Project SqFt'!$A$18:$A$87=A75)/('Project SqFt'!$B$18:$B$87=B75),'Project SqFt'!$F$18:$F$87),LOOKUP(2,1/('Project SqFt'!$H$18:$H$87=A75)/('Project SqFt'!$I$18:$I$87=B75),'Project SqFt'!$M$18:$M$87)),LOOKUP(2,1/('Project SqFt'!$P$18:$P$87=A75)/('Project SqFt'!$Q$18:$Q$87=B75),'Project SqFt'!$U$18:$U$87))=0,"",IFERROR(_xlfn.IFNA(LOOKUP(2,1/('Project SqFt'!$A$18:$A$87=A75)/('Project SqFt'!$B$18:$B$87=B75),'Project SqFt'!$F$18:$F$87),LOOKUP(2,1/('Project SqFt'!$H$18:$H$87=A75)/('Project SqFt'!$I$18:$I$87=B75),'Project SqFt'!$M$18:$M$87)),LOOKUP(2,1/('Project SqFt'!$P$18:$P$87=A75)/('Project SqFt'!$Q$18:$Q$87=B75),'Project SqFt'!$U$18:$U$87)))</f>
        <v/>
      </c>
      <c r="D75" s="934"/>
      <c r="E75" s="934"/>
      <c r="F75" s="934"/>
      <c r="G75" s="934"/>
      <c r="H75" s="934"/>
      <c r="I75" s="194" t="str" cm="1">
        <f t="array" ref="I75">IF(IFERROR(_xlfn.IFNA(LOOKUP(2,1/('Project SqFt'!$A$18:$A$87=A75)/('Project SqFt'!$B$18:$B$87=B75),'Project SqFt'!$C$18:$C$87),LOOKUP(2,1/('Project SqFt'!$H$18:$H$87=A75)/('Project SqFt'!$I$18:$I$87=B75),'Project SqFt'!$K$18:$K$87)),LOOKUP(2,1/('Project SqFt'!$P$18:$P$87=A75)/('Project SqFt'!$Q$18:$Q$87=B75),'Project SqFt'!$R$18:$R$87))="","",IFERROR(_xlfn.IFNA(LOOKUP(2,1/('Project SqFt'!$A$18:$A$87=A75)/('Project SqFt'!$B$18:$B$87=B75),'Project SqFt'!$C$18:$C$87),LOOKUP(2,1/('Project SqFt'!$H$18:$H$87=A75)/('Project SqFt'!$I$18:$I$87=B75),'Project SqFt'!$K$18:$K$87)),LOOKUP(2,1/('Project SqFt'!$P$18:$P$87=A75)/('Project SqFt'!$Q$18:$Q$87=B75),'Project SqFt'!$R$18:$R$87)))</f>
        <v/>
      </c>
      <c r="J75" s="194" t="str" cm="1">
        <f t="array" ref="J75">IF(IFERROR(_xlfn.IFNA(LOOKUP(2,1/('Project SqFt'!$A$18:$A$87=A75)/('Project SqFt'!$B$18:$B$87=B75),'Project SqFt'!$D$18:$D$87),LOOKUP(2,1/('Project SqFt'!$H$18:$H$87=A75)/('Project SqFt'!$I$18:$I$87=B75),'Project SqFt'!$L$18:$L$87)),LOOKUP(2,1/('Project SqFt'!$P$18:$P$87=A75)/('Project SqFt'!$Q$18:$Q$87=B75),'Project SqFt'!$T$18:$T$87))="","",IFERROR(_xlfn.IFNA(LOOKUP(2,1/('Project SqFt'!$A$18:$A$87=A75)/('Project SqFt'!$B$18:$B$87=B75),'Project SqFt'!$D$18:$D$87),LOOKUP(2,1/('Project SqFt'!$H$18:$H$87=A75)/('Project SqFt'!$I$18:$I$87=B75),'Project SqFt'!$L$18:$L$87)),LOOKUP(2,1/('Project SqFt'!$P$18:$P$87=A75)/('Project SqFt'!$Q$18:$Q$87=B75),'Project SqFt'!$T$18:$T$87)))</f>
        <v/>
      </c>
      <c r="K75" s="296" t="str">
        <f>IFERROR(ROUNDDOWN(H49*I75,0),"")</f>
        <v/>
      </c>
      <c r="S75" s="50"/>
      <c r="T75" s="29"/>
      <c r="U75" s="194" t="str" cm="1">
        <f t="array" ref="U75">IF(IFERROR(_xlfn.IFNA(LOOKUP(2,1/('Project SqFt'!$A$18:$A$87=S75)/('Project SqFt'!$B$18:$B$87=T75),'Project SqFt'!$F$18:$F$87),LOOKUP(2,1/('Project SqFt'!$H$18:$H$87=S75)/('Project SqFt'!$I$18:$I$87=T75),'Project SqFt'!$M$18:$M$87)),LOOKUP(2,1/('Project SqFt'!$P$18:$P$87=S75)/('Project SqFt'!$Q$18:$Q$87=T75),'Project SqFt'!$U$18:$U$87))=0,"",IFERROR(_xlfn.IFNA(LOOKUP(2,1/('Project SqFt'!$A$18:$A$87=S75)/('Project SqFt'!$B$18:$B$87=T75),'Project SqFt'!$F$18:$F$87),LOOKUP(2,1/('Project SqFt'!$H$18:$H$87=S75)/('Project SqFt'!$I$18:$I$87=T75),'Project SqFt'!$M$18:$M$87)),LOOKUP(2,1/('Project SqFt'!$P$18:$P$87=S75)/('Project SqFt'!$Q$18:$Q$87=T75),'Project SqFt'!$U$18:$U$87)))</f>
        <v/>
      </c>
      <c r="V75" s="934"/>
      <c r="W75" s="934"/>
      <c r="X75" s="934"/>
      <c r="Y75" s="934"/>
      <c r="Z75" s="934"/>
      <c r="AA75" s="194" t="str" cm="1">
        <f t="array" ref="AA75">IF(IFERROR(_xlfn.IFNA(LOOKUP(2,1/('Project SqFt'!$A$18:$A$87=S75)/('Project SqFt'!$B$18:$B$87=T75),'Project SqFt'!$C$18:$C$87),LOOKUP(2,1/('Project SqFt'!$H$18:$H$87=S75)/('Project SqFt'!$I$18:$I$87=T75),'Project SqFt'!$K$18:$K$87)),LOOKUP(2,1/('Project SqFt'!$P$18:$P$87=S75)/('Project SqFt'!$Q$18:$Q$87=T75),'Project SqFt'!$R$18:$R$87))="","",IFERROR(_xlfn.IFNA(LOOKUP(2,1/('Project SqFt'!$A$18:$A$87=S75)/('Project SqFt'!$B$18:$B$87=T75),'Project SqFt'!$C$18:$C$87),LOOKUP(2,1/('Project SqFt'!$H$18:$H$87=S75)/('Project SqFt'!$I$18:$I$87=T75),'Project SqFt'!$K$18:$K$87)),LOOKUP(2,1/('Project SqFt'!$P$18:$P$87=S75)/('Project SqFt'!$Q$18:$Q$87=T75),'Project SqFt'!$R$18:$R$87)))</f>
        <v/>
      </c>
      <c r="AB75" s="194" t="str" cm="1">
        <f t="array" ref="AB75">IF(IFERROR(_xlfn.IFNA(LOOKUP(2,1/('Project SqFt'!$A$18:$A$87=S75)/('Project SqFt'!$B$18:$B$87=T75),'Project SqFt'!$D$18:$D$87),LOOKUP(2,1/('Project SqFt'!$H$18:$H$87=S75)/('Project SqFt'!$I$18:$I$87=T75),'Project SqFt'!$L$18:$L$87)),LOOKUP(2,1/('Project SqFt'!$P$18:$P$87=S75)/('Project SqFt'!$Q$18:$Q$87=T75),'Project SqFt'!$T$18:$T$87))="","",IFERROR(_xlfn.IFNA(LOOKUP(2,1/('Project SqFt'!$A$18:$A$87=S75)/('Project SqFt'!$B$18:$B$87=T75),'Project SqFt'!$D$18:$D$87),LOOKUP(2,1/('Project SqFt'!$H$18:$H$87=S75)/('Project SqFt'!$I$18:$I$87=T75),'Project SqFt'!$L$18:$L$87)),LOOKUP(2,1/('Project SqFt'!$P$18:$P$87=S75)/('Project SqFt'!$Q$18:$Q$87=T75),'Project SqFt'!$T$18:$T$87)))</f>
        <v/>
      </c>
      <c r="AC75" s="296" t="str">
        <f>IFERROR(ROUNDDOWN(Z49*AA75,0),"")</f>
        <v/>
      </c>
    </row>
    <row r="76" spans="1:29" x14ac:dyDescent="0.25">
      <c r="A76" s="50"/>
      <c r="B76" s="29"/>
      <c r="C76" s="194" t="str" cm="1">
        <f t="array" ref="C76">IF(IFERROR(_xlfn.IFNA(LOOKUP(2,1/('Project SqFt'!$A$18:$A$87=A76)/('Project SqFt'!$B$18:$B$87=B76),'Project SqFt'!$F$18:$F$87),LOOKUP(2,1/('Project SqFt'!$H$18:$H$87=A76)/('Project SqFt'!$I$18:$I$87=B76),'Project SqFt'!$M$18:$M$87)),LOOKUP(2,1/('Project SqFt'!$P$18:$P$87=A76)/('Project SqFt'!$Q$18:$Q$87=B76),'Project SqFt'!$U$18:$U$87))=0,"",IFERROR(_xlfn.IFNA(LOOKUP(2,1/('Project SqFt'!$A$18:$A$87=A76)/('Project SqFt'!$B$18:$B$87=B76),'Project SqFt'!$F$18:$F$87),LOOKUP(2,1/('Project SqFt'!$H$18:$H$87=A76)/('Project SqFt'!$I$18:$I$87=B76),'Project SqFt'!$M$18:$M$87)),LOOKUP(2,1/('Project SqFt'!$P$18:$P$87=A76)/('Project SqFt'!$Q$18:$Q$87=B76),'Project SqFt'!$U$18:$U$87)))</f>
        <v/>
      </c>
      <c r="D76" s="934"/>
      <c r="E76" s="934"/>
      <c r="F76" s="934"/>
      <c r="G76" s="934"/>
      <c r="H76" s="934"/>
      <c r="I76" s="194" t="str" cm="1">
        <f t="array" ref="I76">IF(IFERROR(_xlfn.IFNA(LOOKUP(2,1/('Project SqFt'!$A$18:$A$87=A76)/('Project SqFt'!$B$18:$B$87=B76),'Project SqFt'!$C$18:$C$87),LOOKUP(2,1/('Project SqFt'!$H$18:$H$87=A76)/('Project SqFt'!$I$18:$I$87=B76),'Project SqFt'!$K$18:$K$87)),LOOKUP(2,1/('Project SqFt'!$P$18:$P$87=A76)/('Project SqFt'!$Q$18:$Q$87=B76),'Project SqFt'!$R$18:$R$87))="","",IFERROR(_xlfn.IFNA(LOOKUP(2,1/('Project SqFt'!$A$18:$A$87=A76)/('Project SqFt'!$B$18:$B$87=B76),'Project SqFt'!$C$18:$C$87),LOOKUP(2,1/('Project SqFt'!$H$18:$H$87=A76)/('Project SqFt'!$I$18:$I$87=B76),'Project SqFt'!$K$18:$K$87)),LOOKUP(2,1/('Project SqFt'!$P$18:$P$87=A76)/('Project SqFt'!$Q$18:$Q$87=B76),'Project SqFt'!$R$18:$R$87)))</f>
        <v/>
      </c>
      <c r="J76" s="194" t="str" cm="1">
        <f t="array" ref="J76">IF(IFERROR(_xlfn.IFNA(LOOKUP(2,1/('Project SqFt'!$A$18:$A$87=A76)/('Project SqFt'!$B$18:$B$87=B76),'Project SqFt'!$D$18:$D$87),LOOKUP(2,1/('Project SqFt'!$H$18:$H$87=A76)/('Project SqFt'!$I$18:$I$87=B76),'Project SqFt'!$L$18:$L$87)),LOOKUP(2,1/('Project SqFt'!$P$18:$P$87=A76)/('Project SqFt'!$Q$18:$Q$87=B76),'Project SqFt'!$T$18:$T$87))="","",IFERROR(_xlfn.IFNA(LOOKUP(2,1/('Project SqFt'!$A$18:$A$87=A76)/('Project SqFt'!$B$18:$B$87=B76),'Project SqFt'!$D$18:$D$87),LOOKUP(2,1/('Project SqFt'!$H$18:$H$87=A76)/('Project SqFt'!$I$18:$I$87=B76),'Project SqFt'!$L$18:$L$87)),LOOKUP(2,1/('Project SqFt'!$P$18:$P$87=A76)/('Project SqFt'!$Q$18:$Q$87=B76),'Project SqFt'!$T$18:$T$87)))</f>
        <v/>
      </c>
      <c r="K76" s="296" t="str">
        <f>IFERROR(ROUNDDOWN(H49*I76,0),"")</f>
        <v/>
      </c>
      <c r="S76" s="50"/>
      <c r="T76" s="29"/>
      <c r="U76" s="194" t="str" cm="1">
        <f t="array" ref="U76">IF(IFERROR(_xlfn.IFNA(LOOKUP(2,1/('Project SqFt'!$A$18:$A$87=S76)/('Project SqFt'!$B$18:$B$87=T76),'Project SqFt'!$F$18:$F$87),LOOKUP(2,1/('Project SqFt'!$H$18:$H$87=S76)/('Project SqFt'!$I$18:$I$87=T76),'Project SqFt'!$M$18:$M$87)),LOOKUP(2,1/('Project SqFt'!$P$18:$P$87=S76)/('Project SqFt'!$Q$18:$Q$87=T76),'Project SqFt'!$U$18:$U$87))=0,"",IFERROR(_xlfn.IFNA(LOOKUP(2,1/('Project SqFt'!$A$18:$A$87=S76)/('Project SqFt'!$B$18:$B$87=T76),'Project SqFt'!$F$18:$F$87),LOOKUP(2,1/('Project SqFt'!$H$18:$H$87=S76)/('Project SqFt'!$I$18:$I$87=T76),'Project SqFt'!$M$18:$M$87)),LOOKUP(2,1/('Project SqFt'!$P$18:$P$87=S76)/('Project SqFt'!$Q$18:$Q$87=T76),'Project SqFt'!$U$18:$U$87)))</f>
        <v/>
      </c>
      <c r="V76" s="934"/>
      <c r="W76" s="934"/>
      <c r="X76" s="934"/>
      <c r="Y76" s="934"/>
      <c r="Z76" s="934"/>
      <c r="AA76" s="194" t="str" cm="1">
        <f t="array" ref="AA76">IF(IFERROR(_xlfn.IFNA(LOOKUP(2,1/('Project SqFt'!$A$18:$A$87=S76)/('Project SqFt'!$B$18:$B$87=T76),'Project SqFt'!$C$18:$C$87),LOOKUP(2,1/('Project SqFt'!$H$18:$H$87=S76)/('Project SqFt'!$I$18:$I$87=T76),'Project SqFt'!$K$18:$K$87)),LOOKUP(2,1/('Project SqFt'!$P$18:$P$87=S76)/('Project SqFt'!$Q$18:$Q$87=T76),'Project SqFt'!$R$18:$R$87))="","",IFERROR(_xlfn.IFNA(LOOKUP(2,1/('Project SqFt'!$A$18:$A$87=S76)/('Project SqFt'!$B$18:$B$87=T76),'Project SqFt'!$C$18:$C$87),LOOKUP(2,1/('Project SqFt'!$H$18:$H$87=S76)/('Project SqFt'!$I$18:$I$87=T76),'Project SqFt'!$K$18:$K$87)),LOOKUP(2,1/('Project SqFt'!$P$18:$P$87=S76)/('Project SqFt'!$Q$18:$Q$87=T76),'Project SqFt'!$R$18:$R$87)))</f>
        <v/>
      </c>
      <c r="AB76" s="194" t="str" cm="1">
        <f t="array" ref="AB76">IF(IFERROR(_xlfn.IFNA(LOOKUP(2,1/('Project SqFt'!$A$18:$A$87=S76)/('Project SqFt'!$B$18:$B$87=T76),'Project SqFt'!$D$18:$D$87),LOOKUP(2,1/('Project SqFt'!$H$18:$H$87=S76)/('Project SqFt'!$I$18:$I$87=T76),'Project SqFt'!$L$18:$L$87)),LOOKUP(2,1/('Project SqFt'!$P$18:$P$87=S76)/('Project SqFt'!$Q$18:$Q$87=T76),'Project SqFt'!$T$18:$T$87))="","",IFERROR(_xlfn.IFNA(LOOKUP(2,1/('Project SqFt'!$A$18:$A$87=S76)/('Project SqFt'!$B$18:$B$87=T76),'Project SqFt'!$D$18:$D$87),LOOKUP(2,1/('Project SqFt'!$H$18:$H$87=S76)/('Project SqFt'!$I$18:$I$87=T76),'Project SqFt'!$L$18:$L$87)),LOOKUP(2,1/('Project SqFt'!$P$18:$P$87=S76)/('Project SqFt'!$Q$18:$Q$87=T76),'Project SqFt'!$T$18:$T$87)))</f>
        <v/>
      </c>
      <c r="AC76" s="296" t="str">
        <f>IFERROR(ROUNDDOWN(Z49*AA76,0),"")</f>
        <v/>
      </c>
    </row>
    <row r="77" spans="1:29" x14ac:dyDescent="0.25">
      <c r="A77" s="50"/>
      <c r="B77" s="29"/>
      <c r="C77" s="194" t="str" cm="1">
        <f t="array" ref="C77">IF(IFERROR(_xlfn.IFNA(LOOKUP(2,1/('Project SqFt'!$A$18:$A$87=A77)/('Project SqFt'!$B$18:$B$87=B77),'Project SqFt'!$F$18:$F$87),LOOKUP(2,1/('Project SqFt'!$H$18:$H$87=A77)/('Project SqFt'!$I$18:$I$87=B77),'Project SqFt'!$M$18:$M$87)),LOOKUP(2,1/('Project SqFt'!$P$18:$P$87=A77)/('Project SqFt'!$Q$18:$Q$87=B77),'Project SqFt'!$U$18:$U$87))=0,"",IFERROR(_xlfn.IFNA(LOOKUP(2,1/('Project SqFt'!$A$18:$A$87=A77)/('Project SqFt'!$B$18:$B$87=B77),'Project SqFt'!$F$18:$F$87),LOOKUP(2,1/('Project SqFt'!$H$18:$H$87=A77)/('Project SqFt'!$I$18:$I$87=B77),'Project SqFt'!$M$18:$M$87)),LOOKUP(2,1/('Project SqFt'!$P$18:$P$87=A77)/('Project SqFt'!$Q$18:$Q$87=B77),'Project SqFt'!$U$18:$U$87)))</f>
        <v/>
      </c>
      <c r="D77" s="934"/>
      <c r="E77" s="934"/>
      <c r="F77" s="934"/>
      <c r="G77" s="934"/>
      <c r="H77" s="934"/>
      <c r="I77" s="194" t="str" cm="1">
        <f t="array" ref="I77">IF(IFERROR(_xlfn.IFNA(LOOKUP(2,1/('Project SqFt'!$A$18:$A$87=A77)/('Project SqFt'!$B$18:$B$87=B77),'Project SqFt'!$C$18:$C$87),LOOKUP(2,1/('Project SqFt'!$H$18:$H$87=A77)/('Project SqFt'!$I$18:$I$87=B77),'Project SqFt'!$K$18:$K$87)),LOOKUP(2,1/('Project SqFt'!$P$18:$P$87=A77)/('Project SqFt'!$Q$18:$Q$87=B77),'Project SqFt'!$R$18:$R$87))="","",IFERROR(_xlfn.IFNA(LOOKUP(2,1/('Project SqFt'!$A$18:$A$87=A77)/('Project SqFt'!$B$18:$B$87=B77),'Project SqFt'!$C$18:$C$87),LOOKUP(2,1/('Project SqFt'!$H$18:$H$87=A77)/('Project SqFt'!$I$18:$I$87=B77),'Project SqFt'!$K$18:$K$87)),LOOKUP(2,1/('Project SqFt'!$P$18:$P$87=A77)/('Project SqFt'!$Q$18:$Q$87=B77),'Project SqFt'!$R$18:$R$87)))</f>
        <v/>
      </c>
      <c r="J77" s="194" t="str" cm="1">
        <f t="array" ref="J77">IF(IFERROR(_xlfn.IFNA(LOOKUP(2,1/('Project SqFt'!$A$18:$A$87=A77)/('Project SqFt'!$B$18:$B$87=B77),'Project SqFt'!$D$18:$D$87),LOOKUP(2,1/('Project SqFt'!$H$18:$H$87=A77)/('Project SqFt'!$I$18:$I$87=B77),'Project SqFt'!$L$18:$L$87)),LOOKUP(2,1/('Project SqFt'!$P$18:$P$87=A77)/('Project SqFt'!$Q$18:$Q$87=B77),'Project SqFt'!$T$18:$T$87))="","",IFERROR(_xlfn.IFNA(LOOKUP(2,1/('Project SqFt'!$A$18:$A$87=A77)/('Project SqFt'!$B$18:$B$87=B77),'Project SqFt'!$D$18:$D$87),LOOKUP(2,1/('Project SqFt'!$H$18:$H$87=A77)/('Project SqFt'!$I$18:$I$87=B77),'Project SqFt'!$L$18:$L$87)),LOOKUP(2,1/('Project SqFt'!$P$18:$P$87=A77)/('Project SqFt'!$Q$18:$Q$87=B77),'Project SqFt'!$T$18:$T$87)))</f>
        <v/>
      </c>
      <c r="K77" s="296" t="str">
        <f>IFERROR(ROUNDDOWN(H49*I77,0),"")</f>
        <v/>
      </c>
      <c r="S77" s="50"/>
      <c r="T77" s="29"/>
      <c r="U77" s="194" t="str" cm="1">
        <f t="array" ref="U77">IF(IFERROR(_xlfn.IFNA(LOOKUP(2,1/('Project SqFt'!$A$18:$A$87=S77)/('Project SqFt'!$B$18:$B$87=T77),'Project SqFt'!$F$18:$F$87),LOOKUP(2,1/('Project SqFt'!$H$18:$H$87=S77)/('Project SqFt'!$I$18:$I$87=T77),'Project SqFt'!$M$18:$M$87)),LOOKUP(2,1/('Project SqFt'!$P$18:$P$87=S77)/('Project SqFt'!$Q$18:$Q$87=T77),'Project SqFt'!$U$18:$U$87))=0,"",IFERROR(_xlfn.IFNA(LOOKUP(2,1/('Project SqFt'!$A$18:$A$87=S77)/('Project SqFt'!$B$18:$B$87=T77),'Project SqFt'!$F$18:$F$87),LOOKUP(2,1/('Project SqFt'!$H$18:$H$87=S77)/('Project SqFt'!$I$18:$I$87=T77),'Project SqFt'!$M$18:$M$87)),LOOKUP(2,1/('Project SqFt'!$P$18:$P$87=S77)/('Project SqFt'!$Q$18:$Q$87=T77),'Project SqFt'!$U$18:$U$87)))</f>
        <v/>
      </c>
      <c r="V77" s="934"/>
      <c r="W77" s="934"/>
      <c r="X77" s="934"/>
      <c r="Y77" s="934"/>
      <c r="Z77" s="934"/>
      <c r="AA77" s="194" t="str" cm="1">
        <f t="array" ref="AA77">IF(IFERROR(_xlfn.IFNA(LOOKUP(2,1/('Project SqFt'!$A$18:$A$87=S77)/('Project SqFt'!$B$18:$B$87=T77),'Project SqFt'!$C$18:$C$87),LOOKUP(2,1/('Project SqFt'!$H$18:$H$87=S77)/('Project SqFt'!$I$18:$I$87=T77),'Project SqFt'!$K$18:$K$87)),LOOKUP(2,1/('Project SqFt'!$P$18:$P$87=S77)/('Project SqFt'!$Q$18:$Q$87=T77),'Project SqFt'!$R$18:$R$87))="","",IFERROR(_xlfn.IFNA(LOOKUP(2,1/('Project SqFt'!$A$18:$A$87=S77)/('Project SqFt'!$B$18:$B$87=T77),'Project SqFt'!$C$18:$C$87),LOOKUP(2,1/('Project SqFt'!$H$18:$H$87=S77)/('Project SqFt'!$I$18:$I$87=T77),'Project SqFt'!$K$18:$K$87)),LOOKUP(2,1/('Project SqFt'!$P$18:$P$87=S77)/('Project SqFt'!$Q$18:$Q$87=T77),'Project SqFt'!$R$18:$R$87)))</f>
        <v/>
      </c>
      <c r="AB77" s="194" t="str" cm="1">
        <f t="array" ref="AB77">IF(IFERROR(_xlfn.IFNA(LOOKUP(2,1/('Project SqFt'!$A$18:$A$87=S77)/('Project SqFt'!$B$18:$B$87=T77),'Project SqFt'!$D$18:$D$87),LOOKUP(2,1/('Project SqFt'!$H$18:$H$87=S77)/('Project SqFt'!$I$18:$I$87=T77),'Project SqFt'!$L$18:$L$87)),LOOKUP(2,1/('Project SqFt'!$P$18:$P$87=S77)/('Project SqFt'!$Q$18:$Q$87=T77),'Project SqFt'!$T$18:$T$87))="","",IFERROR(_xlfn.IFNA(LOOKUP(2,1/('Project SqFt'!$A$18:$A$87=S77)/('Project SqFt'!$B$18:$B$87=T77),'Project SqFt'!$D$18:$D$87),LOOKUP(2,1/('Project SqFt'!$H$18:$H$87=S77)/('Project SqFt'!$I$18:$I$87=T77),'Project SqFt'!$L$18:$L$87)),LOOKUP(2,1/('Project SqFt'!$P$18:$P$87=S77)/('Project SqFt'!$Q$18:$Q$87=T77),'Project SqFt'!$T$18:$T$87)))</f>
        <v/>
      </c>
      <c r="AC77" s="296" t="str">
        <f>IFERROR(ROUNDDOWN(Z49*AA77,0),"")</f>
        <v/>
      </c>
    </row>
    <row r="78" spans="1:29" x14ac:dyDescent="0.25">
      <c r="A78" s="50"/>
      <c r="B78" s="29"/>
      <c r="C78" s="194" t="str" cm="1">
        <f t="array" ref="C78">IF(IFERROR(_xlfn.IFNA(LOOKUP(2,1/('Project SqFt'!$A$18:$A$87=A78)/('Project SqFt'!$B$18:$B$87=B78),'Project SqFt'!$F$18:$F$87),LOOKUP(2,1/('Project SqFt'!$H$18:$H$87=A78)/('Project SqFt'!$I$18:$I$87=B78),'Project SqFt'!$M$18:$M$87)),LOOKUP(2,1/('Project SqFt'!$P$18:$P$87=A78)/('Project SqFt'!$Q$18:$Q$87=B78),'Project SqFt'!$U$18:$U$87))=0,"",IFERROR(_xlfn.IFNA(LOOKUP(2,1/('Project SqFt'!$A$18:$A$87=A78)/('Project SqFt'!$B$18:$B$87=B78),'Project SqFt'!$F$18:$F$87),LOOKUP(2,1/('Project SqFt'!$H$18:$H$87=A78)/('Project SqFt'!$I$18:$I$87=B78),'Project SqFt'!$M$18:$M$87)),LOOKUP(2,1/('Project SqFt'!$P$18:$P$87=A78)/('Project SqFt'!$Q$18:$Q$87=B78),'Project SqFt'!$U$18:$U$87)))</f>
        <v/>
      </c>
      <c r="D78" s="934"/>
      <c r="E78" s="934"/>
      <c r="F78" s="934"/>
      <c r="G78" s="934"/>
      <c r="H78" s="934"/>
      <c r="I78" s="194" t="str" cm="1">
        <f t="array" ref="I78">IF(IFERROR(_xlfn.IFNA(LOOKUP(2,1/('Project SqFt'!$A$18:$A$87=A78)/('Project SqFt'!$B$18:$B$87=B78),'Project SqFt'!$C$18:$C$87),LOOKUP(2,1/('Project SqFt'!$H$18:$H$87=A78)/('Project SqFt'!$I$18:$I$87=B78),'Project SqFt'!$K$18:$K$87)),LOOKUP(2,1/('Project SqFt'!$P$18:$P$87=A78)/('Project SqFt'!$Q$18:$Q$87=B78),'Project SqFt'!$R$18:$R$87))="","",IFERROR(_xlfn.IFNA(LOOKUP(2,1/('Project SqFt'!$A$18:$A$87=A78)/('Project SqFt'!$B$18:$B$87=B78),'Project SqFt'!$C$18:$C$87),LOOKUP(2,1/('Project SqFt'!$H$18:$H$87=A78)/('Project SqFt'!$I$18:$I$87=B78),'Project SqFt'!$K$18:$K$87)),LOOKUP(2,1/('Project SqFt'!$P$18:$P$87=A78)/('Project SqFt'!$Q$18:$Q$87=B78),'Project SqFt'!$R$18:$R$87)))</f>
        <v/>
      </c>
      <c r="J78" s="194" t="str" cm="1">
        <f t="array" ref="J78">IF(IFERROR(_xlfn.IFNA(LOOKUP(2,1/('Project SqFt'!$A$18:$A$87=A78)/('Project SqFt'!$B$18:$B$87=B78),'Project SqFt'!$D$18:$D$87),LOOKUP(2,1/('Project SqFt'!$H$18:$H$87=A78)/('Project SqFt'!$I$18:$I$87=B78),'Project SqFt'!$L$18:$L$87)),LOOKUP(2,1/('Project SqFt'!$P$18:$P$87=A78)/('Project SqFt'!$Q$18:$Q$87=B78),'Project SqFt'!$T$18:$T$87))="","",IFERROR(_xlfn.IFNA(LOOKUP(2,1/('Project SqFt'!$A$18:$A$87=A78)/('Project SqFt'!$B$18:$B$87=B78),'Project SqFt'!$D$18:$D$87),LOOKUP(2,1/('Project SqFt'!$H$18:$H$87=A78)/('Project SqFt'!$I$18:$I$87=B78),'Project SqFt'!$L$18:$L$87)),LOOKUP(2,1/('Project SqFt'!$P$18:$P$87=A78)/('Project SqFt'!$Q$18:$Q$87=B78),'Project SqFt'!$T$18:$T$87)))</f>
        <v/>
      </c>
      <c r="K78" s="296" t="str">
        <f>IFERROR(ROUNDDOWN(H49*I78,0),"")</f>
        <v/>
      </c>
      <c r="S78" s="50"/>
      <c r="T78" s="29"/>
      <c r="U78" s="194" t="str" cm="1">
        <f t="array" ref="U78">IF(IFERROR(_xlfn.IFNA(LOOKUP(2,1/('Project SqFt'!$A$18:$A$87=S78)/('Project SqFt'!$B$18:$B$87=T78),'Project SqFt'!$F$18:$F$87),LOOKUP(2,1/('Project SqFt'!$H$18:$H$87=S78)/('Project SqFt'!$I$18:$I$87=T78),'Project SqFt'!$M$18:$M$87)),LOOKUP(2,1/('Project SqFt'!$P$18:$P$87=S78)/('Project SqFt'!$Q$18:$Q$87=T78),'Project SqFt'!$U$18:$U$87))=0,"",IFERROR(_xlfn.IFNA(LOOKUP(2,1/('Project SqFt'!$A$18:$A$87=S78)/('Project SqFt'!$B$18:$B$87=T78),'Project SqFt'!$F$18:$F$87),LOOKUP(2,1/('Project SqFt'!$H$18:$H$87=S78)/('Project SqFt'!$I$18:$I$87=T78),'Project SqFt'!$M$18:$M$87)),LOOKUP(2,1/('Project SqFt'!$P$18:$P$87=S78)/('Project SqFt'!$Q$18:$Q$87=T78),'Project SqFt'!$U$18:$U$87)))</f>
        <v/>
      </c>
      <c r="V78" s="934"/>
      <c r="W78" s="934"/>
      <c r="X78" s="934"/>
      <c r="Y78" s="934"/>
      <c r="Z78" s="934"/>
      <c r="AA78" s="194" t="str" cm="1">
        <f t="array" ref="AA78">IF(IFERROR(_xlfn.IFNA(LOOKUP(2,1/('Project SqFt'!$A$18:$A$87=S78)/('Project SqFt'!$B$18:$B$87=T78),'Project SqFt'!$C$18:$C$87),LOOKUP(2,1/('Project SqFt'!$H$18:$H$87=S78)/('Project SqFt'!$I$18:$I$87=T78),'Project SqFt'!$K$18:$K$87)),LOOKUP(2,1/('Project SqFt'!$P$18:$P$87=S78)/('Project SqFt'!$Q$18:$Q$87=T78),'Project SqFt'!$R$18:$R$87))="","",IFERROR(_xlfn.IFNA(LOOKUP(2,1/('Project SqFt'!$A$18:$A$87=S78)/('Project SqFt'!$B$18:$B$87=T78),'Project SqFt'!$C$18:$C$87),LOOKUP(2,1/('Project SqFt'!$H$18:$H$87=S78)/('Project SqFt'!$I$18:$I$87=T78),'Project SqFt'!$K$18:$K$87)),LOOKUP(2,1/('Project SqFt'!$P$18:$P$87=S78)/('Project SqFt'!$Q$18:$Q$87=T78),'Project SqFt'!$R$18:$R$87)))</f>
        <v/>
      </c>
      <c r="AB78" s="194" t="str" cm="1">
        <f t="array" ref="AB78">IF(IFERROR(_xlfn.IFNA(LOOKUP(2,1/('Project SqFt'!$A$18:$A$87=S78)/('Project SqFt'!$B$18:$B$87=T78),'Project SqFt'!$D$18:$D$87),LOOKUP(2,1/('Project SqFt'!$H$18:$H$87=S78)/('Project SqFt'!$I$18:$I$87=T78),'Project SqFt'!$L$18:$L$87)),LOOKUP(2,1/('Project SqFt'!$P$18:$P$87=S78)/('Project SqFt'!$Q$18:$Q$87=T78),'Project SqFt'!$T$18:$T$87))="","",IFERROR(_xlfn.IFNA(LOOKUP(2,1/('Project SqFt'!$A$18:$A$87=S78)/('Project SqFt'!$B$18:$B$87=T78),'Project SqFt'!$D$18:$D$87),LOOKUP(2,1/('Project SqFt'!$H$18:$H$87=S78)/('Project SqFt'!$I$18:$I$87=T78),'Project SqFt'!$L$18:$L$87)),LOOKUP(2,1/('Project SqFt'!$P$18:$P$87=S78)/('Project SqFt'!$Q$18:$Q$87=T78),'Project SqFt'!$T$18:$T$87)))</f>
        <v/>
      </c>
      <c r="AC78" s="296" t="str">
        <f>IFERROR(ROUNDDOWN(Z49*AA78,0),"")</f>
        <v/>
      </c>
    </row>
    <row r="79" spans="1:29" x14ac:dyDescent="0.25">
      <c r="A79" s="50"/>
      <c r="B79" s="29"/>
      <c r="C79" s="194" t="str" cm="1">
        <f t="array" ref="C79">IF(IFERROR(_xlfn.IFNA(LOOKUP(2,1/('Project SqFt'!$A$18:$A$87=A79)/('Project SqFt'!$B$18:$B$87=B79),'Project SqFt'!$F$18:$F$87),LOOKUP(2,1/('Project SqFt'!$H$18:$H$87=A79)/('Project SqFt'!$I$18:$I$87=B79),'Project SqFt'!$M$18:$M$87)),LOOKUP(2,1/('Project SqFt'!$P$18:$P$87=A79)/('Project SqFt'!$Q$18:$Q$87=B79),'Project SqFt'!$U$18:$U$87))=0,"",IFERROR(_xlfn.IFNA(LOOKUP(2,1/('Project SqFt'!$A$18:$A$87=A79)/('Project SqFt'!$B$18:$B$87=B79),'Project SqFt'!$F$18:$F$87),LOOKUP(2,1/('Project SqFt'!$H$18:$H$87=A79)/('Project SqFt'!$I$18:$I$87=B79),'Project SqFt'!$M$18:$M$87)),LOOKUP(2,1/('Project SqFt'!$P$18:$P$87=A79)/('Project SqFt'!$Q$18:$Q$87=B79),'Project SqFt'!$U$18:$U$87)))</f>
        <v/>
      </c>
      <c r="D79" s="934"/>
      <c r="E79" s="934"/>
      <c r="F79" s="934"/>
      <c r="G79" s="934"/>
      <c r="H79" s="934"/>
      <c r="I79" s="194" t="str" cm="1">
        <f t="array" ref="I79">IF(IFERROR(_xlfn.IFNA(LOOKUP(2,1/('Project SqFt'!$A$18:$A$87=A79)/('Project SqFt'!$B$18:$B$87=B79),'Project SqFt'!$C$18:$C$87),LOOKUP(2,1/('Project SqFt'!$H$18:$H$87=A79)/('Project SqFt'!$I$18:$I$87=B79),'Project SqFt'!$K$18:$K$87)),LOOKUP(2,1/('Project SqFt'!$P$18:$P$87=A79)/('Project SqFt'!$Q$18:$Q$87=B79),'Project SqFt'!$R$18:$R$87))="","",IFERROR(_xlfn.IFNA(LOOKUP(2,1/('Project SqFt'!$A$18:$A$87=A79)/('Project SqFt'!$B$18:$B$87=B79),'Project SqFt'!$C$18:$C$87),LOOKUP(2,1/('Project SqFt'!$H$18:$H$87=A79)/('Project SqFt'!$I$18:$I$87=B79),'Project SqFt'!$K$18:$K$87)),LOOKUP(2,1/('Project SqFt'!$P$18:$P$87=A79)/('Project SqFt'!$Q$18:$Q$87=B79),'Project SqFt'!$R$18:$R$87)))</f>
        <v/>
      </c>
      <c r="J79" s="194" t="str" cm="1">
        <f t="array" ref="J79">IF(IFERROR(_xlfn.IFNA(LOOKUP(2,1/('Project SqFt'!$A$18:$A$87=A79)/('Project SqFt'!$B$18:$B$87=B79),'Project SqFt'!$D$18:$D$87),LOOKUP(2,1/('Project SqFt'!$H$18:$H$87=A79)/('Project SqFt'!$I$18:$I$87=B79),'Project SqFt'!$L$18:$L$87)),LOOKUP(2,1/('Project SqFt'!$P$18:$P$87=A79)/('Project SqFt'!$Q$18:$Q$87=B79),'Project SqFt'!$T$18:$T$87))="","",IFERROR(_xlfn.IFNA(LOOKUP(2,1/('Project SqFt'!$A$18:$A$87=A79)/('Project SqFt'!$B$18:$B$87=B79),'Project SqFt'!$D$18:$D$87),LOOKUP(2,1/('Project SqFt'!$H$18:$H$87=A79)/('Project SqFt'!$I$18:$I$87=B79),'Project SqFt'!$L$18:$L$87)),LOOKUP(2,1/('Project SqFt'!$P$18:$P$87=A79)/('Project SqFt'!$Q$18:$Q$87=B79),'Project SqFt'!$T$18:$T$87)))</f>
        <v/>
      </c>
      <c r="K79" s="296" t="str">
        <f>IFERROR(ROUNDDOWN(H49*I79,0),"")</f>
        <v/>
      </c>
      <c r="S79" s="50"/>
      <c r="T79" s="29"/>
      <c r="U79" s="194" t="str" cm="1">
        <f t="array" ref="U79">IF(IFERROR(_xlfn.IFNA(LOOKUP(2,1/('Project SqFt'!$A$18:$A$87=S79)/('Project SqFt'!$B$18:$B$87=T79),'Project SqFt'!$F$18:$F$87),LOOKUP(2,1/('Project SqFt'!$H$18:$H$87=S79)/('Project SqFt'!$I$18:$I$87=T79),'Project SqFt'!$M$18:$M$87)),LOOKUP(2,1/('Project SqFt'!$P$18:$P$87=S79)/('Project SqFt'!$Q$18:$Q$87=T79),'Project SqFt'!$U$18:$U$87))=0,"",IFERROR(_xlfn.IFNA(LOOKUP(2,1/('Project SqFt'!$A$18:$A$87=S79)/('Project SqFt'!$B$18:$B$87=T79),'Project SqFt'!$F$18:$F$87),LOOKUP(2,1/('Project SqFt'!$H$18:$H$87=S79)/('Project SqFt'!$I$18:$I$87=T79),'Project SqFt'!$M$18:$M$87)),LOOKUP(2,1/('Project SqFt'!$P$18:$P$87=S79)/('Project SqFt'!$Q$18:$Q$87=T79),'Project SqFt'!$U$18:$U$87)))</f>
        <v/>
      </c>
      <c r="V79" s="934"/>
      <c r="W79" s="934"/>
      <c r="X79" s="934"/>
      <c r="Y79" s="934"/>
      <c r="Z79" s="934"/>
      <c r="AA79" s="194" t="str" cm="1">
        <f t="array" ref="AA79">IF(IFERROR(_xlfn.IFNA(LOOKUP(2,1/('Project SqFt'!$A$18:$A$87=S79)/('Project SqFt'!$B$18:$B$87=T79),'Project SqFt'!$C$18:$C$87),LOOKUP(2,1/('Project SqFt'!$H$18:$H$87=S79)/('Project SqFt'!$I$18:$I$87=T79),'Project SqFt'!$K$18:$K$87)),LOOKUP(2,1/('Project SqFt'!$P$18:$P$87=S79)/('Project SqFt'!$Q$18:$Q$87=T79),'Project SqFt'!$R$18:$R$87))="","",IFERROR(_xlfn.IFNA(LOOKUP(2,1/('Project SqFt'!$A$18:$A$87=S79)/('Project SqFt'!$B$18:$B$87=T79),'Project SqFt'!$C$18:$C$87),LOOKUP(2,1/('Project SqFt'!$H$18:$H$87=S79)/('Project SqFt'!$I$18:$I$87=T79),'Project SqFt'!$K$18:$K$87)),LOOKUP(2,1/('Project SqFt'!$P$18:$P$87=S79)/('Project SqFt'!$Q$18:$Q$87=T79),'Project SqFt'!$R$18:$R$87)))</f>
        <v/>
      </c>
      <c r="AB79" s="194" t="str" cm="1">
        <f t="array" ref="AB79">IF(IFERROR(_xlfn.IFNA(LOOKUP(2,1/('Project SqFt'!$A$18:$A$87=S79)/('Project SqFt'!$B$18:$B$87=T79),'Project SqFt'!$D$18:$D$87),LOOKUP(2,1/('Project SqFt'!$H$18:$H$87=S79)/('Project SqFt'!$I$18:$I$87=T79),'Project SqFt'!$L$18:$L$87)),LOOKUP(2,1/('Project SqFt'!$P$18:$P$87=S79)/('Project SqFt'!$Q$18:$Q$87=T79),'Project SqFt'!$T$18:$T$87))="","",IFERROR(_xlfn.IFNA(LOOKUP(2,1/('Project SqFt'!$A$18:$A$87=S79)/('Project SqFt'!$B$18:$B$87=T79),'Project SqFt'!$D$18:$D$87),LOOKUP(2,1/('Project SqFt'!$H$18:$H$87=S79)/('Project SqFt'!$I$18:$I$87=T79),'Project SqFt'!$L$18:$L$87)),LOOKUP(2,1/('Project SqFt'!$P$18:$P$87=S79)/('Project SqFt'!$Q$18:$Q$87=T79),'Project SqFt'!$T$18:$T$87)))</f>
        <v/>
      </c>
      <c r="AC79" s="296" t="str">
        <f>IFERROR(ROUNDDOWN(Z49*AA79,0),"")</f>
        <v/>
      </c>
    </row>
    <row r="80" spans="1:29" x14ac:dyDescent="0.25">
      <c r="A80" s="50"/>
      <c r="B80" s="29"/>
      <c r="C80" s="194" t="str" cm="1">
        <f t="array" ref="C80">IF(IFERROR(_xlfn.IFNA(LOOKUP(2,1/('Project SqFt'!$A$18:$A$87=A80)/('Project SqFt'!$B$18:$B$87=B80),'Project SqFt'!$F$18:$F$87),LOOKUP(2,1/('Project SqFt'!$H$18:$H$87=A80)/('Project SqFt'!$I$18:$I$87=B80),'Project SqFt'!$M$18:$M$87)),LOOKUP(2,1/('Project SqFt'!$P$18:$P$87=A80)/('Project SqFt'!$Q$18:$Q$87=B80),'Project SqFt'!$U$18:$U$87))=0,"",IFERROR(_xlfn.IFNA(LOOKUP(2,1/('Project SqFt'!$A$18:$A$87=A80)/('Project SqFt'!$B$18:$B$87=B80),'Project SqFt'!$F$18:$F$87),LOOKUP(2,1/('Project SqFt'!$H$18:$H$87=A80)/('Project SqFt'!$I$18:$I$87=B80),'Project SqFt'!$M$18:$M$87)),LOOKUP(2,1/('Project SqFt'!$P$18:$P$87=A80)/('Project SqFt'!$Q$18:$Q$87=B80),'Project SqFt'!$U$18:$U$87)))</f>
        <v/>
      </c>
      <c r="D80" s="934"/>
      <c r="E80" s="934"/>
      <c r="F80" s="934"/>
      <c r="G80" s="934"/>
      <c r="H80" s="934"/>
      <c r="I80" s="194" t="str" cm="1">
        <f t="array" ref="I80">IF(IFERROR(_xlfn.IFNA(LOOKUP(2,1/('Project SqFt'!$A$18:$A$87=A80)/('Project SqFt'!$B$18:$B$87=B80),'Project SqFt'!$C$18:$C$87),LOOKUP(2,1/('Project SqFt'!$H$18:$H$87=A80)/('Project SqFt'!$I$18:$I$87=B80),'Project SqFt'!$K$18:$K$87)),LOOKUP(2,1/('Project SqFt'!$P$18:$P$87=A80)/('Project SqFt'!$Q$18:$Q$87=B80),'Project SqFt'!$R$18:$R$87))="","",IFERROR(_xlfn.IFNA(LOOKUP(2,1/('Project SqFt'!$A$18:$A$87=A80)/('Project SqFt'!$B$18:$B$87=B80),'Project SqFt'!$C$18:$C$87),LOOKUP(2,1/('Project SqFt'!$H$18:$H$87=A80)/('Project SqFt'!$I$18:$I$87=B80),'Project SqFt'!$K$18:$K$87)),LOOKUP(2,1/('Project SqFt'!$P$18:$P$87=A80)/('Project SqFt'!$Q$18:$Q$87=B80),'Project SqFt'!$R$18:$R$87)))</f>
        <v/>
      </c>
      <c r="J80" s="194" t="str" cm="1">
        <f t="array" ref="J80">IF(IFERROR(_xlfn.IFNA(LOOKUP(2,1/('Project SqFt'!$A$18:$A$87=A80)/('Project SqFt'!$B$18:$B$87=B80),'Project SqFt'!$D$18:$D$87),LOOKUP(2,1/('Project SqFt'!$H$18:$H$87=A80)/('Project SqFt'!$I$18:$I$87=B80),'Project SqFt'!$L$18:$L$87)),LOOKUP(2,1/('Project SqFt'!$P$18:$P$87=A80)/('Project SqFt'!$Q$18:$Q$87=B80),'Project SqFt'!$T$18:$T$87))="","",IFERROR(_xlfn.IFNA(LOOKUP(2,1/('Project SqFt'!$A$18:$A$87=A80)/('Project SqFt'!$B$18:$B$87=B80),'Project SqFt'!$D$18:$D$87),LOOKUP(2,1/('Project SqFt'!$H$18:$H$87=A80)/('Project SqFt'!$I$18:$I$87=B80),'Project SqFt'!$L$18:$L$87)),LOOKUP(2,1/('Project SqFt'!$P$18:$P$87=A80)/('Project SqFt'!$Q$18:$Q$87=B80),'Project SqFt'!$T$18:$T$87)))</f>
        <v/>
      </c>
      <c r="K80" s="296" t="str">
        <f>IFERROR(ROUNDDOWN(H49*I80,0),"")</f>
        <v/>
      </c>
      <c r="S80" s="50"/>
      <c r="T80" s="29"/>
      <c r="U80" s="194" t="str" cm="1">
        <f t="array" ref="U80">IF(IFERROR(_xlfn.IFNA(LOOKUP(2,1/('Project SqFt'!$A$18:$A$87=S80)/('Project SqFt'!$B$18:$B$87=T80),'Project SqFt'!$F$18:$F$87),LOOKUP(2,1/('Project SqFt'!$H$18:$H$87=S80)/('Project SqFt'!$I$18:$I$87=T80),'Project SqFt'!$M$18:$M$87)),LOOKUP(2,1/('Project SqFt'!$P$18:$P$87=S80)/('Project SqFt'!$Q$18:$Q$87=T80),'Project SqFt'!$U$18:$U$87))=0,"",IFERROR(_xlfn.IFNA(LOOKUP(2,1/('Project SqFt'!$A$18:$A$87=S80)/('Project SqFt'!$B$18:$B$87=T80),'Project SqFt'!$F$18:$F$87),LOOKUP(2,1/('Project SqFt'!$H$18:$H$87=S80)/('Project SqFt'!$I$18:$I$87=T80),'Project SqFt'!$M$18:$M$87)),LOOKUP(2,1/('Project SqFt'!$P$18:$P$87=S80)/('Project SqFt'!$Q$18:$Q$87=T80),'Project SqFt'!$U$18:$U$87)))</f>
        <v/>
      </c>
      <c r="V80" s="934"/>
      <c r="W80" s="934"/>
      <c r="X80" s="934"/>
      <c r="Y80" s="934"/>
      <c r="Z80" s="934"/>
      <c r="AA80" s="194" t="str" cm="1">
        <f t="array" ref="AA80">IF(IFERROR(_xlfn.IFNA(LOOKUP(2,1/('Project SqFt'!$A$18:$A$87=S80)/('Project SqFt'!$B$18:$B$87=T80),'Project SqFt'!$C$18:$C$87),LOOKUP(2,1/('Project SqFt'!$H$18:$H$87=S80)/('Project SqFt'!$I$18:$I$87=T80),'Project SqFt'!$K$18:$K$87)),LOOKUP(2,1/('Project SqFt'!$P$18:$P$87=S80)/('Project SqFt'!$Q$18:$Q$87=T80),'Project SqFt'!$R$18:$R$87))="","",IFERROR(_xlfn.IFNA(LOOKUP(2,1/('Project SqFt'!$A$18:$A$87=S80)/('Project SqFt'!$B$18:$B$87=T80),'Project SqFt'!$C$18:$C$87),LOOKUP(2,1/('Project SqFt'!$H$18:$H$87=S80)/('Project SqFt'!$I$18:$I$87=T80),'Project SqFt'!$K$18:$K$87)),LOOKUP(2,1/('Project SqFt'!$P$18:$P$87=S80)/('Project SqFt'!$Q$18:$Q$87=T80),'Project SqFt'!$R$18:$R$87)))</f>
        <v/>
      </c>
      <c r="AB80" s="194" t="str" cm="1">
        <f t="array" ref="AB80">IF(IFERROR(_xlfn.IFNA(LOOKUP(2,1/('Project SqFt'!$A$18:$A$87=S80)/('Project SqFt'!$B$18:$B$87=T80),'Project SqFt'!$D$18:$D$87),LOOKUP(2,1/('Project SqFt'!$H$18:$H$87=S80)/('Project SqFt'!$I$18:$I$87=T80),'Project SqFt'!$L$18:$L$87)),LOOKUP(2,1/('Project SqFt'!$P$18:$P$87=S80)/('Project SqFt'!$Q$18:$Q$87=T80),'Project SqFt'!$T$18:$T$87))="","",IFERROR(_xlfn.IFNA(LOOKUP(2,1/('Project SqFt'!$A$18:$A$87=S80)/('Project SqFt'!$B$18:$B$87=T80),'Project SqFt'!$D$18:$D$87),LOOKUP(2,1/('Project SqFt'!$H$18:$H$87=S80)/('Project SqFt'!$I$18:$I$87=T80),'Project SqFt'!$L$18:$L$87)),LOOKUP(2,1/('Project SqFt'!$P$18:$P$87=S80)/('Project SqFt'!$Q$18:$Q$87=T80),'Project SqFt'!$T$18:$T$87)))</f>
        <v/>
      </c>
      <c r="AC80" s="296" t="str">
        <f>IFERROR(ROUNDDOWN(Z49*AA80,0),"")</f>
        <v/>
      </c>
    </row>
    <row r="81" spans="1:29" x14ac:dyDescent="0.25">
      <c r="A81" s="50"/>
      <c r="B81" s="29"/>
      <c r="C81" s="194" t="str" cm="1">
        <f t="array" ref="C81">IF(IFERROR(_xlfn.IFNA(LOOKUP(2,1/('Project SqFt'!$A$18:$A$87=A81)/('Project SqFt'!$B$18:$B$87=B81),'Project SqFt'!$F$18:$F$87),LOOKUP(2,1/('Project SqFt'!$H$18:$H$87=A81)/('Project SqFt'!$I$18:$I$87=B81),'Project SqFt'!$M$18:$M$87)),LOOKUP(2,1/('Project SqFt'!$P$18:$P$87=A81)/('Project SqFt'!$Q$18:$Q$87=B81),'Project SqFt'!$U$18:$U$87))=0,"",IFERROR(_xlfn.IFNA(LOOKUP(2,1/('Project SqFt'!$A$18:$A$87=A81)/('Project SqFt'!$B$18:$B$87=B81),'Project SqFt'!$F$18:$F$87),LOOKUP(2,1/('Project SqFt'!$H$18:$H$87=A81)/('Project SqFt'!$I$18:$I$87=B81),'Project SqFt'!$M$18:$M$87)),LOOKUP(2,1/('Project SqFt'!$P$18:$P$87=A81)/('Project SqFt'!$Q$18:$Q$87=B81),'Project SqFt'!$U$18:$U$87)))</f>
        <v/>
      </c>
      <c r="D81" s="934"/>
      <c r="E81" s="934"/>
      <c r="F81" s="934"/>
      <c r="G81" s="934"/>
      <c r="H81" s="934"/>
      <c r="I81" s="194" t="str" cm="1">
        <f t="array" ref="I81">IF(IFERROR(_xlfn.IFNA(LOOKUP(2,1/('Project SqFt'!$A$18:$A$87=A81)/('Project SqFt'!$B$18:$B$87=B81),'Project SqFt'!$C$18:$C$87),LOOKUP(2,1/('Project SqFt'!$H$18:$H$87=A81)/('Project SqFt'!$I$18:$I$87=B81),'Project SqFt'!$K$18:$K$87)),LOOKUP(2,1/('Project SqFt'!$P$18:$P$87=A81)/('Project SqFt'!$Q$18:$Q$87=B81),'Project SqFt'!$R$18:$R$87))="","",IFERROR(_xlfn.IFNA(LOOKUP(2,1/('Project SqFt'!$A$18:$A$87=A81)/('Project SqFt'!$B$18:$B$87=B81),'Project SqFt'!$C$18:$C$87),LOOKUP(2,1/('Project SqFt'!$H$18:$H$87=A81)/('Project SqFt'!$I$18:$I$87=B81),'Project SqFt'!$K$18:$K$87)),LOOKUP(2,1/('Project SqFt'!$P$18:$P$87=A81)/('Project SqFt'!$Q$18:$Q$87=B81),'Project SqFt'!$R$18:$R$87)))</f>
        <v/>
      </c>
      <c r="J81" s="194" t="str" cm="1">
        <f t="array" ref="J81">IF(IFERROR(_xlfn.IFNA(LOOKUP(2,1/('Project SqFt'!$A$18:$A$87=A81)/('Project SqFt'!$B$18:$B$87=B81),'Project SqFt'!$D$18:$D$87),LOOKUP(2,1/('Project SqFt'!$H$18:$H$87=A81)/('Project SqFt'!$I$18:$I$87=B81),'Project SqFt'!$L$18:$L$87)),LOOKUP(2,1/('Project SqFt'!$P$18:$P$87=A81)/('Project SqFt'!$Q$18:$Q$87=B81),'Project SqFt'!$T$18:$T$87))="","",IFERROR(_xlfn.IFNA(LOOKUP(2,1/('Project SqFt'!$A$18:$A$87=A81)/('Project SqFt'!$B$18:$B$87=B81),'Project SqFt'!$D$18:$D$87),LOOKUP(2,1/('Project SqFt'!$H$18:$H$87=A81)/('Project SqFt'!$I$18:$I$87=B81),'Project SqFt'!$L$18:$L$87)),LOOKUP(2,1/('Project SqFt'!$P$18:$P$87=A81)/('Project SqFt'!$Q$18:$Q$87=B81),'Project SqFt'!$T$18:$T$87)))</f>
        <v/>
      </c>
      <c r="K81" s="296" t="str">
        <f>IFERROR(ROUNDDOWN(H49*I81,0),"")</f>
        <v/>
      </c>
      <c r="S81" s="50"/>
      <c r="T81" s="29"/>
      <c r="U81" s="194" t="str" cm="1">
        <f t="array" ref="U81">IF(IFERROR(_xlfn.IFNA(LOOKUP(2,1/('Project SqFt'!$A$18:$A$87=S81)/('Project SqFt'!$B$18:$B$87=T81),'Project SqFt'!$F$18:$F$87),LOOKUP(2,1/('Project SqFt'!$H$18:$H$87=S81)/('Project SqFt'!$I$18:$I$87=T81),'Project SqFt'!$M$18:$M$87)),LOOKUP(2,1/('Project SqFt'!$P$18:$P$87=S81)/('Project SqFt'!$Q$18:$Q$87=T81),'Project SqFt'!$U$18:$U$87))=0,"",IFERROR(_xlfn.IFNA(LOOKUP(2,1/('Project SqFt'!$A$18:$A$87=S81)/('Project SqFt'!$B$18:$B$87=T81),'Project SqFt'!$F$18:$F$87),LOOKUP(2,1/('Project SqFt'!$H$18:$H$87=S81)/('Project SqFt'!$I$18:$I$87=T81),'Project SqFt'!$M$18:$M$87)),LOOKUP(2,1/('Project SqFt'!$P$18:$P$87=S81)/('Project SqFt'!$Q$18:$Q$87=T81),'Project SqFt'!$U$18:$U$87)))</f>
        <v/>
      </c>
      <c r="V81" s="934"/>
      <c r="W81" s="934"/>
      <c r="X81" s="934"/>
      <c r="Y81" s="934"/>
      <c r="Z81" s="934"/>
      <c r="AA81" s="194" t="str" cm="1">
        <f t="array" ref="AA81">IF(IFERROR(_xlfn.IFNA(LOOKUP(2,1/('Project SqFt'!$A$18:$A$87=S81)/('Project SqFt'!$B$18:$B$87=T81),'Project SqFt'!$C$18:$C$87),LOOKUP(2,1/('Project SqFt'!$H$18:$H$87=S81)/('Project SqFt'!$I$18:$I$87=T81),'Project SqFt'!$K$18:$K$87)),LOOKUP(2,1/('Project SqFt'!$P$18:$P$87=S81)/('Project SqFt'!$Q$18:$Q$87=T81),'Project SqFt'!$R$18:$R$87))="","",IFERROR(_xlfn.IFNA(LOOKUP(2,1/('Project SqFt'!$A$18:$A$87=S81)/('Project SqFt'!$B$18:$B$87=T81),'Project SqFt'!$C$18:$C$87),LOOKUP(2,1/('Project SqFt'!$H$18:$H$87=S81)/('Project SqFt'!$I$18:$I$87=T81),'Project SqFt'!$K$18:$K$87)),LOOKUP(2,1/('Project SqFt'!$P$18:$P$87=S81)/('Project SqFt'!$Q$18:$Q$87=T81),'Project SqFt'!$R$18:$R$87)))</f>
        <v/>
      </c>
      <c r="AB81" s="194" t="str" cm="1">
        <f t="array" ref="AB81">IF(IFERROR(_xlfn.IFNA(LOOKUP(2,1/('Project SqFt'!$A$18:$A$87=S81)/('Project SqFt'!$B$18:$B$87=T81),'Project SqFt'!$D$18:$D$87),LOOKUP(2,1/('Project SqFt'!$H$18:$H$87=S81)/('Project SqFt'!$I$18:$I$87=T81),'Project SqFt'!$L$18:$L$87)),LOOKUP(2,1/('Project SqFt'!$P$18:$P$87=S81)/('Project SqFt'!$Q$18:$Q$87=T81),'Project SqFt'!$T$18:$T$87))="","",IFERROR(_xlfn.IFNA(LOOKUP(2,1/('Project SqFt'!$A$18:$A$87=S81)/('Project SqFt'!$B$18:$B$87=T81),'Project SqFt'!$D$18:$D$87),LOOKUP(2,1/('Project SqFt'!$H$18:$H$87=S81)/('Project SqFt'!$I$18:$I$87=T81),'Project SqFt'!$L$18:$L$87)),LOOKUP(2,1/('Project SqFt'!$P$18:$P$87=S81)/('Project SqFt'!$Q$18:$Q$87=T81),'Project SqFt'!$T$18:$T$87)))</f>
        <v/>
      </c>
      <c r="AC81" s="296" t="str">
        <f>IFERROR(ROUNDDOWN(Z49*AA81,0),"")</f>
        <v/>
      </c>
    </row>
    <row r="82" spans="1:29" x14ac:dyDescent="0.25">
      <c r="A82" s="50"/>
      <c r="B82" s="29"/>
      <c r="C82" s="194" t="str" cm="1">
        <f t="array" ref="C82">IF(IFERROR(_xlfn.IFNA(LOOKUP(2,1/('Project SqFt'!$A$18:$A$87=A82)/('Project SqFt'!$B$18:$B$87=B82),'Project SqFt'!$F$18:$F$87),LOOKUP(2,1/('Project SqFt'!$H$18:$H$87=A82)/('Project SqFt'!$I$18:$I$87=B82),'Project SqFt'!$M$18:$M$87)),LOOKUP(2,1/('Project SqFt'!$P$18:$P$87=A82)/('Project SqFt'!$Q$18:$Q$87=B82),'Project SqFt'!$U$18:$U$87))=0,"",IFERROR(_xlfn.IFNA(LOOKUP(2,1/('Project SqFt'!$A$18:$A$87=A82)/('Project SqFt'!$B$18:$B$87=B82),'Project SqFt'!$F$18:$F$87),LOOKUP(2,1/('Project SqFt'!$H$18:$H$87=A82)/('Project SqFt'!$I$18:$I$87=B82),'Project SqFt'!$M$18:$M$87)),LOOKUP(2,1/('Project SqFt'!$P$18:$P$87=A82)/('Project SqFt'!$Q$18:$Q$87=B82),'Project SqFt'!$U$18:$U$87)))</f>
        <v/>
      </c>
      <c r="D82" s="934"/>
      <c r="E82" s="934"/>
      <c r="F82" s="934"/>
      <c r="G82" s="934"/>
      <c r="H82" s="934"/>
      <c r="I82" s="194" t="str" cm="1">
        <f t="array" ref="I82">IF(IFERROR(_xlfn.IFNA(LOOKUP(2,1/('Project SqFt'!$A$18:$A$87=A82)/('Project SqFt'!$B$18:$B$87=B82),'Project SqFt'!$C$18:$C$87),LOOKUP(2,1/('Project SqFt'!$H$18:$H$87=A82)/('Project SqFt'!$I$18:$I$87=B82),'Project SqFt'!$K$18:$K$87)),LOOKUP(2,1/('Project SqFt'!$P$18:$P$87=A82)/('Project SqFt'!$Q$18:$Q$87=B82),'Project SqFt'!$R$18:$R$87))="","",IFERROR(_xlfn.IFNA(LOOKUP(2,1/('Project SqFt'!$A$18:$A$87=A82)/('Project SqFt'!$B$18:$B$87=B82),'Project SqFt'!$C$18:$C$87),LOOKUP(2,1/('Project SqFt'!$H$18:$H$87=A82)/('Project SqFt'!$I$18:$I$87=B82),'Project SqFt'!$K$18:$K$87)),LOOKUP(2,1/('Project SqFt'!$P$18:$P$87=A82)/('Project SqFt'!$Q$18:$Q$87=B82),'Project SqFt'!$R$18:$R$87)))</f>
        <v/>
      </c>
      <c r="J82" s="194" t="str" cm="1">
        <f t="array" ref="J82">IF(IFERROR(_xlfn.IFNA(LOOKUP(2,1/('Project SqFt'!$A$18:$A$87=A82)/('Project SqFt'!$B$18:$B$87=B82),'Project SqFt'!$D$18:$D$87),LOOKUP(2,1/('Project SqFt'!$H$18:$H$87=A82)/('Project SqFt'!$I$18:$I$87=B82),'Project SqFt'!$L$18:$L$87)),LOOKUP(2,1/('Project SqFt'!$P$18:$P$87=A82)/('Project SqFt'!$Q$18:$Q$87=B82),'Project SqFt'!$T$18:$T$87))="","",IFERROR(_xlfn.IFNA(LOOKUP(2,1/('Project SqFt'!$A$18:$A$87=A82)/('Project SqFt'!$B$18:$B$87=B82),'Project SqFt'!$D$18:$D$87),LOOKUP(2,1/('Project SqFt'!$H$18:$H$87=A82)/('Project SqFt'!$I$18:$I$87=B82),'Project SqFt'!$L$18:$L$87)),LOOKUP(2,1/('Project SqFt'!$P$18:$P$87=A82)/('Project SqFt'!$Q$18:$Q$87=B82),'Project SqFt'!$T$18:$T$87)))</f>
        <v/>
      </c>
      <c r="K82" s="296" t="str">
        <f>IFERROR(ROUNDDOWN(H49*I82,0),"")</f>
        <v/>
      </c>
      <c r="S82" s="50"/>
      <c r="T82" s="29"/>
      <c r="U82" s="194" t="str" cm="1">
        <f t="array" ref="U82">IF(IFERROR(_xlfn.IFNA(LOOKUP(2,1/('Project SqFt'!$A$18:$A$87=S82)/('Project SqFt'!$B$18:$B$87=T82),'Project SqFt'!$F$18:$F$87),LOOKUP(2,1/('Project SqFt'!$H$18:$H$87=S82)/('Project SqFt'!$I$18:$I$87=T82),'Project SqFt'!$M$18:$M$87)),LOOKUP(2,1/('Project SqFt'!$P$18:$P$87=S82)/('Project SqFt'!$Q$18:$Q$87=T82),'Project SqFt'!$U$18:$U$87))=0,"",IFERROR(_xlfn.IFNA(LOOKUP(2,1/('Project SqFt'!$A$18:$A$87=S82)/('Project SqFt'!$B$18:$B$87=T82),'Project SqFt'!$F$18:$F$87),LOOKUP(2,1/('Project SqFt'!$H$18:$H$87=S82)/('Project SqFt'!$I$18:$I$87=T82),'Project SqFt'!$M$18:$M$87)),LOOKUP(2,1/('Project SqFt'!$P$18:$P$87=S82)/('Project SqFt'!$Q$18:$Q$87=T82),'Project SqFt'!$U$18:$U$87)))</f>
        <v/>
      </c>
      <c r="V82" s="934"/>
      <c r="W82" s="934"/>
      <c r="X82" s="934"/>
      <c r="Y82" s="934"/>
      <c r="Z82" s="934"/>
      <c r="AA82" s="194" t="str" cm="1">
        <f t="array" ref="AA82">IF(IFERROR(_xlfn.IFNA(LOOKUP(2,1/('Project SqFt'!$A$18:$A$87=S82)/('Project SqFt'!$B$18:$B$87=T82),'Project SqFt'!$C$18:$C$87),LOOKUP(2,1/('Project SqFt'!$H$18:$H$87=S82)/('Project SqFt'!$I$18:$I$87=T82),'Project SqFt'!$K$18:$K$87)),LOOKUP(2,1/('Project SqFt'!$P$18:$P$87=S82)/('Project SqFt'!$Q$18:$Q$87=T82),'Project SqFt'!$R$18:$R$87))="","",IFERROR(_xlfn.IFNA(LOOKUP(2,1/('Project SqFt'!$A$18:$A$87=S82)/('Project SqFt'!$B$18:$B$87=T82),'Project SqFt'!$C$18:$C$87),LOOKUP(2,1/('Project SqFt'!$H$18:$H$87=S82)/('Project SqFt'!$I$18:$I$87=T82),'Project SqFt'!$K$18:$K$87)),LOOKUP(2,1/('Project SqFt'!$P$18:$P$87=S82)/('Project SqFt'!$Q$18:$Q$87=T82),'Project SqFt'!$R$18:$R$87)))</f>
        <v/>
      </c>
      <c r="AB82" s="194" t="str" cm="1">
        <f t="array" ref="AB82">IF(IFERROR(_xlfn.IFNA(LOOKUP(2,1/('Project SqFt'!$A$18:$A$87=S82)/('Project SqFt'!$B$18:$B$87=T82),'Project SqFt'!$D$18:$D$87),LOOKUP(2,1/('Project SqFt'!$H$18:$H$87=S82)/('Project SqFt'!$I$18:$I$87=T82),'Project SqFt'!$L$18:$L$87)),LOOKUP(2,1/('Project SqFt'!$P$18:$P$87=S82)/('Project SqFt'!$Q$18:$Q$87=T82),'Project SqFt'!$T$18:$T$87))="","",IFERROR(_xlfn.IFNA(LOOKUP(2,1/('Project SqFt'!$A$18:$A$87=S82)/('Project SqFt'!$B$18:$B$87=T82),'Project SqFt'!$D$18:$D$87),LOOKUP(2,1/('Project SqFt'!$H$18:$H$87=S82)/('Project SqFt'!$I$18:$I$87=T82),'Project SqFt'!$L$18:$L$87)),LOOKUP(2,1/('Project SqFt'!$P$18:$P$87=S82)/('Project SqFt'!$Q$18:$Q$87=T82),'Project SqFt'!$T$18:$T$87)))</f>
        <v/>
      </c>
      <c r="AC82" s="296" t="str">
        <f>IFERROR(ROUNDDOWN(Z49*AA82,0),"")</f>
        <v/>
      </c>
    </row>
    <row r="83" spans="1:29" x14ac:dyDescent="0.25">
      <c r="A83" s="50"/>
      <c r="B83" s="29"/>
      <c r="C83" s="194" t="str" cm="1">
        <f t="array" ref="C83">IF(IFERROR(_xlfn.IFNA(LOOKUP(2,1/('Project SqFt'!$A$18:$A$87=A83)/('Project SqFt'!$B$18:$B$87=B83),'Project SqFt'!$F$18:$F$87),LOOKUP(2,1/('Project SqFt'!$H$18:$H$87=A83)/('Project SqFt'!$I$18:$I$87=B83),'Project SqFt'!$M$18:$M$87)),LOOKUP(2,1/('Project SqFt'!$P$18:$P$87=A83)/('Project SqFt'!$Q$18:$Q$87=B83),'Project SqFt'!$U$18:$U$87))=0,"",IFERROR(_xlfn.IFNA(LOOKUP(2,1/('Project SqFt'!$A$18:$A$87=A83)/('Project SqFt'!$B$18:$B$87=B83),'Project SqFt'!$F$18:$F$87),LOOKUP(2,1/('Project SqFt'!$H$18:$H$87=A83)/('Project SqFt'!$I$18:$I$87=B83),'Project SqFt'!$M$18:$M$87)),LOOKUP(2,1/('Project SqFt'!$P$18:$P$87=A83)/('Project SqFt'!$Q$18:$Q$87=B83),'Project SqFt'!$U$18:$U$87)))</f>
        <v/>
      </c>
      <c r="D83" s="934"/>
      <c r="E83" s="934"/>
      <c r="F83" s="934"/>
      <c r="G83" s="934"/>
      <c r="H83" s="934"/>
      <c r="I83" s="194" t="str" cm="1">
        <f t="array" ref="I83">IF(IFERROR(_xlfn.IFNA(LOOKUP(2,1/('Project SqFt'!$A$18:$A$87=A83)/('Project SqFt'!$B$18:$B$87=B83),'Project SqFt'!$C$18:$C$87),LOOKUP(2,1/('Project SqFt'!$H$18:$H$87=A83)/('Project SqFt'!$I$18:$I$87=B83),'Project SqFt'!$K$18:$K$87)),LOOKUP(2,1/('Project SqFt'!$P$18:$P$87=A83)/('Project SqFt'!$Q$18:$Q$87=B83),'Project SqFt'!$R$18:$R$87))="","",IFERROR(_xlfn.IFNA(LOOKUP(2,1/('Project SqFt'!$A$18:$A$87=A83)/('Project SqFt'!$B$18:$B$87=B83),'Project SqFt'!$C$18:$C$87),LOOKUP(2,1/('Project SqFt'!$H$18:$H$87=A83)/('Project SqFt'!$I$18:$I$87=B83),'Project SqFt'!$K$18:$K$87)),LOOKUP(2,1/('Project SqFt'!$P$18:$P$87=A83)/('Project SqFt'!$Q$18:$Q$87=B83),'Project SqFt'!$R$18:$R$87)))</f>
        <v/>
      </c>
      <c r="J83" s="194" t="str" cm="1">
        <f t="array" ref="J83">IF(IFERROR(_xlfn.IFNA(LOOKUP(2,1/('Project SqFt'!$A$18:$A$87=A83)/('Project SqFt'!$B$18:$B$87=B83),'Project SqFt'!$D$18:$D$87),LOOKUP(2,1/('Project SqFt'!$H$18:$H$87=A83)/('Project SqFt'!$I$18:$I$87=B83),'Project SqFt'!$L$18:$L$87)),LOOKUP(2,1/('Project SqFt'!$P$18:$P$87=A83)/('Project SqFt'!$Q$18:$Q$87=B83),'Project SqFt'!$T$18:$T$87))="","",IFERROR(_xlfn.IFNA(LOOKUP(2,1/('Project SqFt'!$A$18:$A$87=A83)/('Project SqFt'!$B$18:$B$87=B83),'Project SqFt'!$D$18:$D$87),LOOKUP(2,1/('Project SqFt'!$H$18:$H$87=A83)/('Project SqFt'!$I$18:$I$87=B83),'Project SqFt'!$L$18:$L$87)),LOOKUP(2,1/('Project SqFt'!$P$18:$P$87=A83)/('Project SqFt'!$Q$18:$Q$87=B83),'Project SqFt'!$T$18:$T$87)))</f>
        <v/>
      </c>
      <c r="K83" s="296" t="str">
        <f>IFERROR(ROUNDDOWN(H49*I83,0),"")</f>
        <v/>
      </c>
      <c r="S83" s="50"/>
      <c r="T83" s="29"/>
      <c r="U83" s="194" t="str" cm="1">
        <f t="array" ref="U83">IF(IFERROR(_xlfn.IFNA(LOOKUP(2,1/('Project SqFt'!$A$18:$A$87=S83)/('Project SqFt'!$B$18:$B$87=T83),'Project SqFt'!$F$18:$F$87),LOOKUP(2,1/('Project SqFt'!$H$18:$H$87=S83)/('Project SqFt'!$I$18:$I$87=T83),'Project SqFt'!$M$18:$M$87)),LOOKUP(2,1/('Project SqFt'!$P$18:$P$87=S83)/('Project SqFt'!$Q$18:$Q$87=T83),'Project SqFt'!$U$18:$U$87))=0,"",IFERROR(_xlfn.IFNA(LOOKUP(2,1/('Project SqFt'!$A$18:$A$87=S83)/('Project SqFt'!$B$18:$B$87=T83),'Project SqFt'!$F$18:$F$87),LOOKUP(2,1/('Project SqFt'!$H$18:$H$87=S83)/('Project SqFt'!$I$18:$I$87=T83),'Project SqFt'!$M$18:$M$87)),LOOKUP(2,1/('Project SqFt'!$P$18:$P$87=S83)/('Project SqFt'!$Q$18:$Q$87=T83),'Project SqFt'!$U$18:$U$87)))</f>
        <v/>
      </c>
      <c r="V83" s="934"/>
      <c r="W83" s="934"/>
      <c r="X83" s="934"/>
      <c r="Y83" s="934"/>
      <c r="Z83" s="934"/>
      <c r="AA83" s="194" t="str" cm="1">
        <f t="array" ref="AA83">IF(IFERROR(_xlfn.IFNA(LOOKUP(2,1/('Project SqFt'!$A$18:$A$87=S83)/('Project SqFt'!$B$18:$B$87=T83),'Project SqFt'!$C$18:$C$87),LOOKUP(2,1/('Project SqFt'!$H$18:$H$87=S83)/('Project SqFt'!$I$18:$I$87=T83),'Project SqFt'!$K$18:$K$87)),LOOKUP(2,1/('Project SqFt'!$P$18:$P$87=S83)/('Project SqFt'!$Q$18:$Q$87=T83),'Project SqFt'!$R$18:$R$87))="","",IFERROR(_xlfn.IFNA(LOOKUP(2,1/('Project SqFt'!$A$18:$A$87=S83)/('Project SqFt'!$B$18:$B$87=T83),'Project SqFt'!$C$18:$C$87),LOOKUP(2,1/('Project SqFt'!$H$18:$H$87=S83)/('Project SqFt'!$I$18:$I$87=T83),'Project SqFt'!$K$18:$K$87)),LOOKUP(2,1/('Project SqFt'!$P$18:$P$87=S83)/('Project SqFt'!$Q$18:$Q$87=T83),'Project SqFt'!$R$18:$R$87)))</f>
        <v/>
      </c>
      <c r="AB83" s="194" t="str" cm="1">
        <f t="array" ref="AB83">IF(IFERROR(_xlfn.IFNA(LOOKUP(2,1/('Project SqFt'!$A$18:$A$87=S83)/('Project SqFt'!$B$18:$B$87=T83),'Project SqFt'!$D$18:$D$87),LOOKUP(2,1/('Project SqFt'!$H$18:$H$87=S83)/('Project SqFt'!$I$18:$I$87=T83),'Project SqFt'!$L$18:$L$87)),LOOKUP(2,1/('Project SqFt'!$P$18:$P$87=S83)/('Project SqFt'!$Q$18:$Q$87=T83),'Project SqFt'!$T$18:$T$87))="","",IFERROR(_xlfn.IFNA(LOOKUP(2,1/('Project SqFt'!$A$18:$A$87=S83)/('Project SqFt'!$B$18:$B$87=T83),'Project SqFt'!$D$18:$D$87),LOOKUP(2,1/('Project SqFt'!$H$18:$H$87=S83)/('Project SqFt'!$I$18:$I$87=T83),'Project SqFt'!$L$18:$L$87)),LOOKUP(2,1/('Project SqFt'!$P$18:$P$87=S83)/('Project SqFt'!$Q$18:$Q$87=T83),'Project SqFt'!$T$18:$T$87)))</f>
        <v/>
      </c>
      <c r="AC83" s="296" t="str">
        <f>IFERROR(ROUNDDOWN(Z49*AA83,0),"")</f>
        <v/>
      </c>
    </row>
    <row r="84" spans="1:29" x14ac:dyDescent="0.25">
      <c r="A84" s="50"/>
      <c r="B84" s="29"/>
      <c r="C84" s="194" t="str" cm="1">
        <f t="array" ref="C84">IF(IFERROR(_xlfn.IFNA(LOOKUP(2,1/('Project SqFt'!$A$18:$A$87=A84)/('Project SqFt'!$B$18:$B$87=B84),'Project SqFt'!$F$18:$F$87),LOOKUP(2,1/('Project SqFt'!$H$18:$H$87=A84)/('Project SqFt'!$I$18:$I$87=B84),'Project SqFt'!$M$18:$M$87)),LOOKUP(2,1/('Project SqFt'!$P$18:$P$87=A84)/('Project SqFt'!$Q$18:$Q$87=B84),'Project SqFt'!$U$18:$U$87))=0,"",IFERROR(_xlfn.IFNA(LOOKUP(2,1/('Project SqFt'!$A$18:$A$87=A84)/('Project SqFt'!$B$18:$B$87=B84),'Project SqFt'!$F$18:$F$87),LOOKUP(2,1/('Project SqFt'!$H$18:$H$87=A84)/('Project SqFt'!$I$18:$I$87=B84),'Project SqFt'!$M$18:$M$87)),LOOKUP(2,1/('Project SqFt'!$P$18:$P$87=A84)/('Project SqFt'!$Q$18:$Q$87=B84),'Project SqFt'!$U$18:$U$87)))</f>
        <v/>
      </c>
      <c r="D84" s="934"/>
      <c r="E84" s="934"/>
      <c r="F84" s="934"/>
      <c r="G84" s="934"/>
      <c r="H84" s="934"/>
      <c r="I84" s="194" t="str" cm="1">
        <f t="array" ref="I84">IF(IFERROR(_xlfn.IFNA(LOOKUP(2,1/('Project SqFt'!$A$18:$A$87=A84)/('Project SqFt'!$B$18:$B$87=B84),'Project SqFt'!$C$18:$C$87),LOOKUP(2,1/('Project SqFt'!$H$18:$H$87=A84)/('Project SqFt'!$I$18:$I$87=B84),'Project SqFt'!$K$18:$K$87)),LOOKUP(2,1/('Project SqFt'!$P$18:$P$87=A84)/('Project SqFt'!$Q$18:$Q$87=B84),'Project SqFt'!$R$18:$R$87))="","",IFERROR(_xlfn.IFNA(LOOKUP(2,1/('Project SqFt'!$A$18:$A$87=A84)/('Project SqFt'!$B$18:$B$87=B84),'Project SqFt'!$C$18:$C$87),LOOKUP(2,1/('Project SqFt'!$H$18:$H$87=A84)/('Project SqFt'!$I$18:$I$87=B84),'Project SqFt'!$K$18:$K$87)),LOOKUP(2,1/('Project SqFt'!$P$18:$P$87=A84)/('Project SqFt'!$Q$18:$Q$87=B84),'Project SqFt'!$R$18:$R$87)))</f>
        <v/>
      </c>
      <c r="J84" s="194" t="str" cm="1">
        <f t="array" ref="J84">IF(IFERROR(_xlfn.IFNA(LOOKUP(2,1/('Project SqFt'!$A$18:$A$87=A84)/('Project SqFt'!$B$18:$B$87=B84),'Project SqFt'!$D$18:$D$87),LOOKUP(2,1/('Project SqFt'!$H$18:$H$87=A84)/('Project SqFt'!$I$18:$I$87=B84),'Project SqFt'!$L$18:$L$87)),LOOKUP(2,1/('Project SqFt'!$P$18:$P$87=A84)/('Project SqFt'!$Q$18:$Q$87=B84),'Project SqFt'!$T$18:$T$87))="","",IFERROR(_xlfn.IFNA(LOOKUP(2,1/('Project SqFt'!$A$18:$A$87=A84)/('Project SqFt'!$B$18:$B$87=B84),'Project SqFt'!$D$18:$D$87),LOOKUP(2,1/('Project SqFt'!$H$18:$H$87=A84)/('Project SqFt'!$I$18:$I$87=B84),'Project SqFt'!$L$18:$L$87)),LOOKUP(2,1/('Project SqFt'!$P$18:$P$87=A84)/('Project SqFt'!$Q$18:$Q$87=B84),'Project SqFt'!$T$18:$T$87)))</f>
        <v/>
      </c>
      <c r="K84" s="296" t="str">
        <f>IFERROR(ROUNDDOWN(H49*I84,0),"")</f>
        <v/>
      </c>
      <c r="S84" s="50"/>
      <c r="T84" s="29"/>
      <c r="U84" s="194" t="str" cm="1">
        <f t="array" ref="U84">IF(IFERROR(_xlfn.IFNA(LOOKUP(2,1/('Project SqFt'!$A$18:$A$87=S84)/('Project SqFt'!$B$18:$B$87=T84),'Project SqFt'!$F$18:$F$87),LOOKUP(2,1/('Project SqFt'!$H$18:$H$87=S84)/('Project SqFt'!$I$18:$I$87=T84),'Project SqFt'!$M$18:$M$87)),LOOKUP(2,1/('Project SqFt'!$P$18:$P$87=S84)/('Project SqFt'!$Q$18:$Q$87=T84),'Project SqFt'!$U$18:$U$87))=0,"",IFERROR(_xlfn.IFNA(LOOKUP(2,1/('Project SqFt'!$A$18:$A$87=S84)/('Project SqFt'!$B$18:$B$87=T84),'Project SqFt'!$F$18:$F$87),LOOKUP(2,1/('Project SqFt'!$H$18:$H$87=S84)/('Project SqFt'!$I$18:$I$87=T84),'Project SqFt'!$M$18:$M$87)),LOOKUP(2,1/('Project SqFt'!$P$18:$P$87=S84)/('Project SqFt'!$Q$18:$Q$87=T84),'Project SqFt'!$U$18:$U$87)))</f>
        <v/>
      </c>
      <c r="V84" s="934"/>
      <c r="W84" s="934"/>
      <c r="X84" s="934"/>
      <c r="Y84" s="934"/>
      <c r="Z84" s="934"/>
      <c r="AA84" s="194" t="str" cm="1">
        <f t="array" ref="AA84">IF(IFERROR(_xlfn.IFNA(LOOKUP(2,1/('Project SqFt'!$A$18:$A$87=S84)/('Project SqFt'!$B$18:$B$87=T84),'Project SqFt'!$C$18:$C$87),LOOKUP(2,1/('Project SqFt'!$H$18:$H$87=S84)/('Project SqFt'!$I$18:$I$87=T84),'Project SqFt'!$K$18:$K$87)),LOOKUP(2,1/('Project SqFt'!$P$18:$P$87=S84)/('Project SqFt'!$Q$18:$Q$87=T84),'Project SqFt'!$R$18:$R$87))="","",IFERROR(_xlfn.IFNA(LOOKUP(2,1/('Project SqFt'!$A$18:$A$87=S84)/('Project SqFt'!$B$18:$B$87=T84),'Project SqFt'!$C$18:$C$87),LOOKUP(2,1/('Project SqFt'!$H$18:$H$87=S84)/('Project SqFt'!$I$18:$I$87=T84),'Project SqFt'!$K$18:$K$87)),LOOKUP(2,1/('Project SqFt'!$P$18:$P$87=S84)/('Project SqFt'!$Q$18:$Q$87=T84),'Project SqFt'!$R$18:$R$87)))</f>
        <v/>
      </c>
      <c r="AB84" s="194" t="str" cm="1">
        <f t="array" ref="AB84">IF(IFERROR(_xlfn.IFNA(LOOKUP(2,1/('Project SqFt'!$A$18:$A$87=S84)/('Project SqFt'!$B$18:$B$87=T84),'Project SqFt'!$D$18:$D$87),LOOKUP(2,1/('Project SqFt'!$H$18:$H$87=S84)/('Project SqFt'!$I$18:$I$87=T84),'Project SqFt'!$L$18:$L$87)),LOOKUP(2,1/('Project SqFt'!$P$18:$P$87=S84)/('Project SqFt'!$Q$18:$Q$87=T84),'Project SqFt'!$T$18:$T$87))="","",IFERROR(_xlfn.IFNA(LOOKUP(2,1/('Project SqFt'!$A$18:$A$87=S84)/('Project SqFt'!$B$18:$B$87=T84),'Project SqFt'!$D$18:$D$87),LOOKUP(2,1/('Project SqFt'!$H$18:$H$87=S84)/('Project SqFt'!$I$18:$I$87=T84),'Project SqFt'!$L$18:$L$87)),LOOKUP(2,1/('Project SqFt'!$P$18:$P$87=S84)/('Project SqFt'!$Q$18:$Q$87=T84),'Project SqFt'!$T$18:$T$87)))</f>
        <v/>
      </c>
      <c r="AC84" s="296" t="str">
        <f>IFERROR(ROUNDDOWN(Z49*AA84,0),"")</f>
        <v/>
      </c>
    </row>
    <row r="85" spans="1:29" x14ac:dyDescent="0.25">
      <c r="A85" s="50"/>
      <c r="B85" s="29"/>
      <c r="C85" s="194" t="str" cm="1">
        <f t="array" ref="C85">IF(IFERROR(_xlfn.IFNA(LOOKUP(2,1/('Project SqFt'!$A$18:$A$87=A85)/('Project SqFt'!$B$18:$B$87=B85),'Project SqFt'!$F$18:$F$87),LOOKUP(2,1/('Project SqFt'!$H$18:$H$87=A85)/('Project SqFt'!$I$18:$I$87=B85),'Project SqFt'!$M$18:$M$87)),LOOKUP(2,1/('Project SqFt'!$P$18:$P$87=A85)/('Project SqFt'!$Q$18:$Q$87=B85),'Project SqFt'!$U$18:$U$87))=0,"",IFERROR(_xlfn.IFNA(LOOKUP(2,1/('Project SqFt'!$A$18:$A$87=A85)/('Project SqFt'!$B$18:$B$87=B85),'Project SqFt'!$F$18:$F$87),LOOKUP(2,1/('Project SqFt'!$H$18:$H$87=A85)/('Project SqFt'!$I$18:$I$87=B85),'Project SqFt'!$M$18:$M$87)),LOOKUP(2,1/('Project SqFt'!$P$18:$P$87=A85)/('Project SqFt'!$Q$18:$Q$87=B85),'Project SqFt'!$U$18:$U$87)))</f>
        <v/>
      </c>
      <c r="D85" s="934"/>
      <c r="E85" s="934"/>
      <c r="F85" s="934"/>
      <c r="G85" s="934"/>
      <c r="H85" s="934"/>
      <c r="I85" s="194" t="str" cm="1">
        <f t="array" ref="I85">IF(IFERROR(_xlfn.IFNA(LOOKUP(2,1/('Project SqFt'!$A$18:$A$87=A85)/('Project SqFt'!$B$18:$B$87=B85),'Project SqFt'!$C$18:$C$87),LOOKUP(2,1/('Project SqFt'!$H$18:$H$87=A85)/('Project SqFt'!$I$18:$I$87=B85),'Project SqFt'!$K$18:$K$87)),LOOKUP(2,1/('Project SqFt'!$P$18:$P$87=A85)/('Project SqFt'!$Q$18:$Q$87=B85),'Project SqFt'!$R$18:$R$87))="","",IFERROR(_xlfn.IFNA(LOOKUP(2,1/('Project SqFt'!$A$18:$A$87=A85)/('Project SqFt'!$B$18:$B$87=B85),'Project SqFt'!$C$18:$C$87),LOOKUP(2,1/('Project SqFt'!$H$18:$H$87=A85)/('Project SqFt'!$I$18:$I$87=B85),'Project SqFt'!$K$18:$K$87)),LOOKUP(2,1/('Project SqFt'!$P$18:$P$87=A85)/('Project SqFt'!$Q$18:$Q$87=B85),'Project SqFt'!$R$18:$R$87)))</f>
        <v/>
      </c>
      <c r="J85" s="194" t="str" cm="1">
        <f t="array" ref="J85">IF(IFERROR(_xlfn.IFNA(LOOKUP(2,1/('Project SqFt'!$A$18:$A$87=A85)/('Project SqFt'!$B$18:$B$87=B85),'Project SqFt'!$D$18:$D$87),LOOKUP(2,1/('Project SqFt'!$H$18:$H$87=A85)/('Project SqFt'!$I$18:$I$87=B85),'Project SqFt'!$L$18:$L$87)),LOOKUP(2,1/('Project SqFt'!$P$18:$P$87=A85)/('Project SqFt'!$Q$18:$Q$87=B85),'Project SqFt'!$T$18:$T$87))="","",IFERROR(_xlfn.IFNA(LOOKUP(2,1/('Project SqFt'!$A$18:$A$87=A85)/('Project SqFt'!$B$18:$B$87=B85),'Project SqFt'!$D$18:$D$87),LOOKUP(2,1/('Project SqFt'!$H$18:$H$87=A85)/('Project SqFt'!$I$18:$I$87=B85),'Project SqFt'!$L$18:$L$87)),LOOKUP(2,1/('Project SqFt'!$P$18:$P$87=A85)/('Project SqFt'!$Q$18:$Q$87=B85),'Project SqFt'!$T$18:$T$87)))</f>
        <v/>
      </c>
      <c r="K85" s="296" t="str">
        <f>IFERROR(ROUNDDOWN(H49*I85,0),"")</f>
        <v/>
      </c>
      <c r="S85" s="50"/>
      <c r="T85" s="29"/>
      <c r="U85" s="194" t="str" cm="1">
        <f t="array" ref="U85">IF(IFERROR(_xlfn.IFNA(LOOKUP(2,1/('Project SqFt'!$A$18:$A$87=S85)/('Project SqFt'!$B$18:$B$87=T85),'Project SqFt'!$F$18:$F$87),LOOKUP(2,1/('Project SqFt'!$H$18:$H$87=S85)/('Project SqFt'!$I$18:$I$87=T85),'Project SqFt'!$M$18:$M$87)),LOOKUP(2,1/('Project SqFt'!$P$18:$P$87=S85)/('Project SqFt'!$Q$18:$Q$87=T85),'Project SqFt'!$U$18:$U$87))=0,"",IFERROR(_xlfn.IFNA(LOOKUP(2,1/('Project SqFt'!$A$18:$A$87=S85)/('Project SqFt'!$B$18:$B$87=T85),'Project SqFt'!$F$18:$F$87),LOOKUP(2,1/('Project SqFt'!$H$18:$H$87=S85)/('Project SqFt'!$I$18:$I$87=T85),'Project SqFt'!$M$18:$M$87)),LOOKUP(2,1/('Project SqFt'!$P$18:$P$87=S85)/('Project SqFt'!$Q$18:$Q$87=T85),'Project SqFt'!$U$18:$U$87)))</f>
        <v/>
      </c>
      <c r="V85" s="934"/>
      <c r="W85" s="934"/>
      <c r="X85" s="934"/>
      <c r="Y85" s="934"/>
      <c r="Z85" s="934"/>
      <c r="AA85" s="194" t="str" cm="1">
        <f t="array" ref="AA85">IF(IFERROR(_xlfn.IFNA(LOOKUP(2,1/('Project SqFt'!$A$18:$A$87=S85)/('Project SqFt'!$B$18:$B$87=T85),'Project SqFt'!$C$18:$C$87),LOOKUP(2,1/('Project SqFt'!$H$18:$H$87=S85)/('Project SqFt'!$I$18:$I$87=T85),'Project SqFt'!$K$18:$K$87)),LOOKUP(2,1/('Project SqFt'!$P$18:$P$87=S85)/('Project SqFt'!$Q$18:$Q$87=T85),'Project SqFt'!$R$18:$R$87))="","",IFERROR(_xlfn.IFNA(LOOKUP(2,1/('Project SqFt'!$A$18:$A$87=S85)/('Project SqFt'!$B$18:$B$87=T85),'Project SqFt'!$C$18:$C$87),LOOKUP(2,1/('Project SqFt'!$H$18:$H$87=S85)/('Project SqFt'!$I$18:$I$87=T85),'Project SqFt'!$K$18:$K$87)),LOOKUP(2,1/('Project SqFt'!$P$18:$P$87=S85)/('Project SqFt'!$Q$18:$Q$87=T85),'Project SqFt'!$R$18:$R$87)))</f>
        <v/>
      </c>
      <c r="AB85" s="194" t="str" cm="1">
        <f t="array" ref="AB85">IF(IFERROR(_xlfn.IFNA(LOOKUP(2,1/('Project SqFt'!$A$18:$A$87=S85)/('Project SqFt'!$B$18:$B$87=T85),'Project SqFt'!$D$18:$D$87),LOOKUP(2,1/('Project SqFt'!$H$18:$H$87=S85)/('Project SqFt'!$I$18:$I$87=T85),'Project SqFt'!$L$18:$L$87)),LOOKUP(2,1/('Project SqFt'!$P$18:$P$87=S85)/('Project SqFt'!$Q$18:$Q$87=T85),'Project SqFt'!$T$18:$T$87))="","",IFERROR(_xlfn.IFNA(LOOKUP(2,1/('Project SqFt'!$A$18:$A$87=S85)/('Project SqFt'!$B$18:$B$87=T85),'Project SqFt'!$D$18:$D$87),LOOKUP(2,1/('Project SqFt'!$H$18:$H$87=S85)/('Project SqFt'!$I$18:$I$87=T85),'Project SqFt'!$L$18:$L$87)),LOOKUP(2,1/('Project SqFt'!$P$18:$P$87=S85)/('Project SqFt'!$Q$18:$Q$87=T85),'Project SqFt'!$T$18:$T$87)))</f>
        <v/>
      </c>
      <c r="AC85" s="296" t="str">
        <f>IFERROR(ROUNDDOWN(Z49*AA85,0),"")</f>
        <v/>
      </c>
    </row>
    <row r="86" spans="1:29" x14ac:dyDescent="0.25">
      <c r="A86" s="50"/>
      <c r="B86" s="29"/>
      <c r="C86" s="194" t="str" cm="1">
        <f t="array" ref="C86">IF(IFERROR(_xlfn.IFNA(LOOKUP(2,1/('Project SqFt'!$A$18:$A$87=A86)/('Project SqFt'!$B$18:$B$87=B86),'Project SqFt'!$F$18:$F$87),LOOKUP(2,1/('Project SqFt'!$H$18:$H$87=A86)/('Project SqFt'!$I$18:$I$87=B86),'Project SqFt'!$M$18:$M$87)),LOOKUP(2,1/('Project SqFt'!$P$18:$P$87=A86)/('Project SqFt'!$Q$18:$Q$87=B86),'Project SqFt'!$U$18:$U$87))=0,"",IFERROR(_xlfn.IFNA(LOOKUP(2,1/('Project SqFt'!$A$18:$A$87=A86)/('Project SqFt'!$B$18:$B$87=B86),'Project SqFt'!$F$18:$F$87),LOOKUP(2,1/('Project SqFt'!$H$18:$H$87=A86)/('Project SqFt'!$I$18:$I$87=B86),'Project SqFt'!$M$18:$M$87)),LOOKUP(2,1/('Project SqFt'!$P$18:$P$87=A86)/('Project SqFt'!$Q$18:$Q$87=B86),'Project SqFt'!$U$18:$U$87)))</f>
        <v/>
      </c>
      <c r="D86" s="934"/>
      <c r="E86" s="934"/>
      <c r="F86" s="934"/>
      <c r="G86" s="934"/>
      <c r="H86" s="934"/>
      <c r="I86" s="194" t="str" cm="1">
        <f t="array" ref="I86">IF(IFERROR(_xlfn.IFNA(LOOKUP(2,1/('Project SqFt'!$A$18:$A$87=A86)/('Project SqFt'!$B$18:$B$87=B86),'Project SqFt'!$C$18:$C$87),LOOKUP(2,1/('Project SqFt'!$H$18:$H$87=A86)/('Project SqFt'!$I$18:$I$87=B86),'Project SqFt'!$K$18:$K$87)),LOOKUP(2,1/('Project SqFt'!$P$18:$P$87=A86)/('Project SqFt'!$Q$18:$Q$87=B86),'Project SqFt'!$R$18:$R$87))="","",IFERROR(_xlfn.IFNA(LOOKUP(2,1/('Project SqFt'!$A$18:$A$87=A86)/('Project SqFt'!$B$18:$B$87=B86),'Project SqFt'!$C$18:$C$87),LOOKUP(2,1/('Project SqFt'!$H$18:$H$87=A86)/('Project SqFt'!$I$18:$I$87=B86),'Project SqFt'!$K$18:$K$87)),LOOKUP(2,1/('Project SqFt'!$P$18:$P$87=A86)/('Project SqFt'!$Q$18:$Q$87=B86),'Project SqFt'!$R$18:$R$87)))</f>
        <v/>
      </c>
      <c r="J86" s="194" t="str" cm="1">
        <f t="array" ref="J86">IF(IFERROR(_xlfn.IFNA(LOOKUP(2,1/('Project SqFt'!$A$18:$A$87=A86)/('Project SqFt'!$B$18:$B$87=B86),'Project SqFt'!$D$18:$D$87),LOOKUP(2,1/('Project SqFt'!$H$18:$H$87=A86)/('Project SqFt'!$I$18:$I$87=B86),'Project SqFt'!$L$18:$L$87)),LOOKUP(2,1/('Project SqFt'!$P$18:$P$87=A86)/('Project SqFt'!$Q$18:$Q$87=B86),'Project SqFt'!$T$18:$T$87))="","",IFERROR(_xlfn.IFNA(LOOKUP(2,1/('Project SqFt'!$A$18:$A$87=A86)/('Project SqFt'!$B$18:$B$87=B86),'Project SqFt'!$D$18:$D$87),LOOKUP(2,1/('Project SqFt'!$H$18:$H$87=A86)/('Project SqFt'!$I$18:$I$87=B86),'Project SqFt'!$L$18:$L$87)),LOOKUP(2,1/('Project SqFt'!$P$18:$P$87=A86)/('Project SqFt'!$Q$18:$Q$87=B86),'Project SqFt'!$T$18:$T$87)))</f>
        <v/>
      </c>
      <c r="K86" s="296" t="str">
        <f>IFERROR(ROUNDDOWN(H49*I86,0),"")</f>
        <v/>
      </c>
      <c r="S86" s="50"/>
      <c r="T86" s="29"/>
      <c r="U86" s="194" t="str" cm="1">
        <f t="array" ref="U86">IF(IFERROR(_xlfn.IFNA(LOOKUP(2,1/('Project SqFt'!$A$18:$A$87=S86)/('Project SqFt'!$B$18:$B$87=T86),'Project SqFt'!$F$18:$F$87),LOOKUP(2,1/('Project SqFt'!$H$18:$H$87=S86)/('Project SqFt'!$I$18:$I$87=T86),'Project SqFt'!$M$18:$M$87)),LOOKUP(2,1/('Project SqFt'!$P$18:$P$87=S86)/('Project SqFt'!$Q$18:$Q$87=T86),'Project SqFt'!$U$18:$U$87))=0,"",IFERROR(_xlfn.IFNA(LOOKUP(2,1/('Project SqFt'!$A$18:$A$87=S86)/('Project SqFt'!$B$18:$B$87=T86),'Project SqFt'!$F$18:$F$87),LOOKUP(2,1/('Project SqFt'!$H$18:$H$87=S86)/('Project SqFt'!$I$18:$I$87=T86),'Project SqFt'!$M$18:$M$87)),LOOKUP(2,1/('Project SqFt'!$P$18:$P$87=S86)/('Project SqFt'!$Q$18:$Q$87=T86),'Project SqFt'!$U$18:$U$87)))</f>
        <v/>
      </c>
      <c r="V86" s="934"/>
      <c r="W86" s="934"/>
      <c r="X86" s="934"/>
      <c r="Y86" s="934"/>
      <c r="Z86" s="934"/>
      <c r="AA86" s="194" t="str" cm="1">
        <f t="array" ref="AA86">IF(IFERROR(_xlfn.IFNA(LOOKUP(2,1/('Project SqFt'!$A$18:$A$87=S86)/('Project SqFt'!$B$18:$B$87=T86),'Project SqFt'!$C$18:$C$87),LOOKUP(2,1/('Project SqFt'!$H$18:$H$87=S86)/('Project SqFt'!$I$18:$I$87=T86),'Project SqFt'!$K$18:$K$87)),LOOKUP(2,1/('Project SqFt'!$P$18:$P$87=S86)/('Project SqFt'!$Q$18:$Q$87=T86),'Project SqFt'!$R$18:$R$87))="","",IFERROR(_xlfn.IFNA(LOOKUP(2,1/('Project SqFt'!$A$18:$A$87=S86)/('Project SqFt'!$B$18:$B$87=T86),'Project SqFt'!$C$18:$C$87),LOOKUP(2,1/('Project SqFt'!$H$18:$H$87=S86)/('Project SqFt'!$I$18:$I$87=T86),'Project SqFt'!$K$18:$K$87)),LOOKUP(2,1/('Project SqFt'!$P$18:$P$87=S86)/('Project SqFt'!$Q$18:$Q$87=T86),'Project SqFt'!$R$18:$R$87)))</f>
        <v/>
      </c>
      <c r="AB86" s="194" t="str" cm="1">
        <f t="array" ref="AB86">IF(IFERROR(_xlfn.IFNA(LOOKUP(2,1/('Project SqFt'!$A$18:$A$87=S86)/('Project SqFt'!$B$18:$B$87=T86),'Project SqFt'!$D$18:$D$87),LOOKUP(2,1/('Project SqFt'!$H$18:$H$87=S86)/('Project SqFt'!$I$18:$I$87=T86),'Project SqFt'!$L$18:$L$87)),LOOKUP(2,1/('Project SqFt'!$P$18:$P$87=S86)/('Project SqFt'!$Q$18:$Q$87=T86),'Project SqFt'!$T$18:$T$87))="","",IFERROR(_xlfn.IFNA(LOOKUP(2,1/('Project SqFt'!$A$18:$A$87=S86)/('Project SqFt'!$B$18:$B$87=T86),'Project SqFt'!$D$18:$D$87),LOOKUP(2,1/('Project SqFt'!$H$18:$H$87=S86)/('Project SqFt'!$I$18:$I$87=T86),'Project SqFt'!$L$18:$L$87)),LOOKUP(2,1/('Project SqFt'!$P$18:$P$87=S86)/('Project SqFt'!$Q$18:$Q$87=T86),'Project SqFt'!$T$18:$T$87)))</f>
        <v/>
      </c>
      <c r="AC86" s="296" t="str">
        <f>IFERROR(ROUNDDOWN(Z49*AA86,0),"")</f>
        <v/>
      </c>
    </row>
    <row r="87" spans="1:29" x14ac:dyDescent="0.25">
      <c r="A87" s="50"/>
      <c r="B87" s="29"/>
      <c r="C87" s="194" t="str" cm="1">
        <f t="array" ref="C87">IF(IFERROR(_xlfn.IFNA(LOOKUP(2,1/('Project SqFt'!$A$18:$A$87=A87)/('Project SqFt'!$B$18:$B$87=B87),'Project SqFt'!$F$18:$F$87),LOOKUP(2,1/('Project SqFt'!$H$18:$H$87=A87)/('Project SqFt'!$I$18:$I$87=B87),'Project SqFt'!$M$18:$M$87)),LOOKUP(2,1/('Project SqFt'!$P$18:$P$87=A87)/('Project SqFt'!$Q$18:$Q$87=B87),'Project SqFt'!$U$18:$U$87))=0,"",IFERROR(_xlfn.IFNA(LOOKUP(2,1/('Project SqFt'!$A$18:$A$87=A87)/('Project SqFt'!$B$18:$B$87=B87),'Project SqFt'!$F$18:$F$87),LOOKUP(2,1/('Project SqFt'!$H$18:$H$87=A87)/('Project SqFt'!$I$18:$I$87=B87),'Project SqFt'!$M$18:$M$87)),LOOKUP(2,1/('Project SqFt'!$P$18:$P$87=A87)/('Project SqFt'!$Q$18:$Q$87=B87),'Project SqFt'!$U$18:$U$87)))</f>
        <v/>
      </c>
      <c r="D87" s="934"/>
      <c r="E87" s="934"/>
      <c r="F87" s="934"/>
      <c r="G87" s="934"/>
      <c r="H87" s="934"/>
      <c r="I87" s="194" t="str" cm="1">
        <f t="array" ref="I87">IF(IFERROR(_xlfn.IFNA(LOOKUP(2,1/('Project SqFt'!$A$18:$A$87=A87)/('Project SqFt'!$B$18:$B$87=B87),'Project SqFt'!$C$18:$C$87),LOOKUP(2,1/('Project SqFt'!$H$18:$H$87=A87)/('Project SqFt'!$I$18:$I$87=B87),'Project SqFt'!$K$18:$K$87)),LOOKUP(2,1/('Project SqFt'!$P$18:$P$87=A87)/('Project SqFt'!$Q$18:$Q$87=B87),'Project SqFt'!$R$18:$R$87))="","",IFERROR(_xlfn.IFNA(LOOKUP(2,1/('Project SqFt'!$A$18:$A$87=A87)/('Project SqFt'!$B$18:$B$87=B87),'Project SqFt'!$C$18:$C$87),LOOKUP(2,1/('Project SqFt'!$H$18:$H$87=A87)/('Project SqFt'!$I$18:$I$87=B87),'Project SqFt'!$K$18:$K$87)),LOOKUP(2,1/('Project SqFt'!$P$18:$P$87=A87)/('Project SqFt'!$Q$18:$Q$87=B87),'Project SqFt'!$R$18:$R$87)))</f>
        <v/>
      </c>
      <c r="J87" s="194" t="str" cm="1">
        <f t="array" ref="J87">IF(IFERROR(_xlfn.IFNA(LOOKUP(2,1/('Project SqFt'!$A$18:$A$87=A87)/('Project SqFt'!$B$18:$B$87=B87),'Project SqFt'!$D$18:$D$87),LOOKUP(2,1/('Project SqFt'!$H$18:$H$87=A87)/('Project SqFt'!$I$18:$I$87=B87),'Project SqFt'!$L$18:$L$87)),LOOKUP(2,1/('Project SqFt'!$P$18:$P$87=A87)/('Project SqFt'!$Q$18:$Q$87=B87),'Project SqFt'!$T$18:$T$87))="","",IFERROR(_xlfn.IFNA(LOOKUP(2,1/('Project SqFt'!$A$18:$A$87=A87)/('Project SqFt'!$B$18:$B$87=B87),'Project SqFt'!$D$18:$D$87),LOOKUP(2,1/('Project SqFt'!$H$18:$H$87=A87)/('Project SqFt'!$I$18:$I$87=B87),'Project SqFt'!$L$18:$L$87)),LOOKUP(2,1/('Project SqFt'!$P$18:$P$87=A87)/('Project SqFt'!$Q$18:$Q$87=B87),'Project SqFt'!$T$18:$T$87)))</f>
        <v/>
      </c>
      <c r="K87" s="296" t="str">
        <f>IFERROR(ROUNDDOWN(H49*I87,0),"")</f>
        <v/>
      </c>
      <c r="S87" s="50"/>
      <c r="T87" s="29"/>
      <c r="U87" s="194" t="str" cm="1">
        <f t="array" ref="U87">IF(IFERROR(_xlfn.IFNA(LOOKUP(2,1/('Project SqFt'!$A$18:$A$87=S87)/('Project SqFt'!$B$18:$B$87=T87),'Project SqFt'!$F$18:$F$87),LOOKUP(2,1/('Project SqFt'!$H$18:$H$87=S87)/('Project SqFt'!$I$18:$I$87=T87),'Project SqFt'!$M$18:$M$87)),LOOKUP(2,1/('Project SqFt'!$P$18:$P$87=S87)/('Project SqFt'!$Q$18:$Q$87=T87),'Project SqFt'!$U$18:$U$87))=0,"",IFERROR(_xlfn.IFNA(LOOKUP(2,1/('Project SqFt'!$A$18:$A$87=S87)/('Project SqFt'!$B$18:$B$87=T87),'Project SqFt'!$F$18:$F$87),LOOKUP(2,1/('Project SqFt'!$H$18:$H$87=S87)/('Project SqFt'!$I$18:$I$87=T87),'Project SqFt'!$M$18:$M$87)),LOOKUP(2,1/('Project SqFt'!$P$18:$P$87=S87)/('Project SqFt'!$Q$18:$Q$87=T87),'Project SqFt'!$U$18:$U$87)))</f>
        <v/>
      </c>
      <c r="V87" s="934"/>
      <c r="W87" s="934"/>
      <c r="X87" s="934"/>
      <c r="Y87" s="934"/>
      <c r="Z87" s="934"/>
      <c r="AA87" s="194" t="str" cm="1">
        <f t="array" ref="AA87">IF(IFERROR(_xlfn.IFNA(LOOKUP(2,1/('Project SqFt'!$A$18:$A$87=S87)/('Project SqFt'!$B$18:$B$87=T87),'Project SqFt'!$C$18:$C$87),LOOKUP(2,1/('Project SqFt'!$H$18:$H$87=S87)/('Project SqFt'!$I$18:$I$87=T87),'Project SqFt'!$K$18:$K$87)),LOOKUP(2,1/('Project SqFt'!$P$18:$P$87=S87)/('Project SqFt'!$Q$18:$Q$87=T87),'Project SqFt'!$R$18:$R$87))="","",IFERROR(_xlfn.IFNA(LOOKUP(2,1/('Project SqFt'!$A$18:$A$87=S87)/('Project SqFt'!$B$18:$B$87=T87),'Project SqFt'!$C$18:$C$87),LOOKUP(2,1/('Project SqFt'!$H$18:$H$87=S87)/('Project SqFt'!$I$18:$I$87=T87),'Project SqFt'!$K$18:$K$87)),LOOKUP(2,1/('Project SqFt'!$P$18:$P$87=S87)/('Project SqFt'!$Q$18:$Q$87=T87),'Project SqFt'!$R$18:$R$87)))</f>
        <v/>
      </c>
      <c r="AB87" s="194" t="str" cm="1">
        <f t="array" ref="AB87">IF(IFERROR(_xlfn.IFNA(LOOKUP(2,1/('Project SqFt'!$A$18:$A$87=S87)/('Project SqFt'!$B$18:$B$87=T87),'Project SqFt'!$D$18:$D$87),LOOKUP(2,1/('Project SqFt'!$H$18:$H$87=S87)/('Project SqFt'!$I$18:$I$87=T87),'Project SqFt'!$L$18:$L$87)),LOOKUP(2,1/('Project SqFt'!$P$18:$P$87=S87)/('Project SqFt'!$Q$18:$Q$87=T87),'Project SqFt'!$T$18:$T$87))="","",IFERROR(_xlfn.IFNA(LOOKUP(2,1/('Project SqFt'!$A$18:$A$87=S87)/('Project SqFt'!$B$18:$B$87=T87),'Project SqFt'!$D$18:$D$87),LOOKUP(2,1/('Project SqFt'!$H$18:$H$87=S87)/('Project SqFt'!$I$18:$I$87=T87),'Project SqFt'!$L$18:$L$87)),LOOKUP(2,1/('Project SqFt'!$P$18:$P$87=S87)/('Project SqFt'!$Q$18:$Q$87=T87),'Project SqFt'!$T$18:$T$87)))</f>
        <v/>
      </c>
      <c r="AC87" s="296" t="str">
        <f>IFERROR(ROUNDDOWN(Z49*AA87,0),"")</f>
        <v/>
      </c>
    </row>
    <row r="88" spans="1:29" x14ac:dyDescent="0.25">
      <c r="A88" s="50"/>
      <c r="B88" s="29"/>
      <c r="C88" s="194" t="str" cm="1">
        <f t="array" ref="C88">IF(IFERROR(_xlfn.IFNA(LOOKUP(2,1/('Project SqFt'!$A$18:$A$87=A88)/('Project SqFt'!$B$18:$B$87=B88),'Project SqFt'!$F$18:$F$87),LOOKUP(2,1/('Project SqFt'!$H$18:$H$87=A88)/('Project SqFt'!$I$18:$I$87=B88),'Project SqFt'!$M$18:$M$87)),LOOKUP(2,1/('Project SqFt'!$P$18:$P$87=A88)/('Project SqFt'!$Q$18:$Q$87=B88),'Project SqFt'!$U$18:$U$87))=0,"",IFERROR(_xlfn.IFNA(LOOKUP(2,1/('Project SqFt'!$A$18:$A$87=A88)/('Project SqFt'!$B$18:$B$87=B88),'Project SqFt'!$F$18:$F$87),LOOKUP(2,1/('Project SqFt'!$H$18:$H$87=A88)/('Project SqFt'!$I$18:$I$87=B88),'Project SqFt'!$M$18:$M$87)),LOOKUP(2,1/('Project SqFt'!$P$18:$P$87=A88)/('Project SqFt'!$Q$18:$Q$87=B88),'Project SqFt'!$U$18:$U$87)))</f>
        <v/>
      </c>
      <c r="D88" s="934"/>
      <c r="E88" s="934"/>
      <c r="F88" s="934"/>
      <c r="G88" s="934"/>
      <c r="H88" s="934"/>
      <c r="I88" s="194" t="str" cm="1">
        <f t="array" ref="I88">IF(IFERROR(_xlfn.IFNA(LOOKUP(2,1/('Project SqFt'!$A$18:$A$87=A88)/('Project SqFt'!$B$18:$B$87=B88),'Project SqFt'!$C$18:$C$87),LOOKUP(2,1/('Project SqFt'!$H$18:$H$87=A88)/('Project SqFt'!$I$18:$I$87=B88),'Project SqFt'!$K$18:$K$87)),LOOKUP(2,1/('Project SqFt'!$P$18:$P$87=A88)/('Project SqFt'!$Q$18:$Q$87=B88),'Project SqFt'!$R$18:$R$87))="","",IFERROR(_xlfn.IFNA(LOOKUP(2,1/('Project SqFt'!$A$18:$A$87=A88)/('Project SqFt'!$B$18:$B$87=B88),'Project SqFt'!$C$18:$C$87),LOOKUP(2,1/('Project SqFt'!$H$18:$H$87=A88)/('Project SqFt'!$I$18:$I$87=B88),'Project SqFt'!$K$18:$K$87)),LOOKUP(2,1/('Project SqFt'!$P$18:$P$87=A88)/('Project SqFt'!$Q$18:$Q$87=B88),'Project SqFt'!$R$18:$R$87)))</f>
        <v/>
      </c>
      <c r="J88" s="194" t="str" cm="1">
        <f t="array" ref="J88">IF(IFERROR(_xlfn.IFNA(LOOKUP(2,1/('Project SqFt'!$A$18:$A$87=A88)/('Project SqFt'!$B$18:$B$87=B88),'Project SqFt'!$D$18:$D$87),LOOKUP(2,1/('Project SqFt'!$H$18:$H$87=A88)/('Project SqFt'!$I$18:$I$87=B88),'Project SqFt'!$L$18:$L$87)),LOOKUP(2,1/('Project SqFt'!$P$18:$P$87=A88)/('Project SqFt'!$Q$18:$Q$87=B88),'Project SqFt'!$T$18:$T$87))="","",IFERROR(_xlfn.IFNA(LOOKUP(2,1/('Project SqFt'!$A$18:$A$87=A88)/('Project SqFt'!$B$18:$B$87=B88),'Project SqFt'!$D$18:$D$87),LOOKUP(2,1/('Project SqFt'!$H$18:$H$87=A88)/('Project SqFt'!$I$18:$I$87=B88),'Project SqFt'!$L$18:$L$87)),LOOKUP(2,1/('Project SqFt'!$P$18:$P$87=A88)/('Project SqFt'!$Q$18:$Q$87=B88),'Project SqFt'!$T$18:$T$87)))</f>
        <v/>
      </c>
      <c r="K88" s="296" t="str">
        <f>IFERROR(ROUNDDOWN(H49*I88,0),"")</f>
        <v/>
      </c>
      <c r="S88" s="50"/>
      <c r="T88" s="29"/>
      <c r="U88" s="194" t="str" cm="1">
        <f t="array" ref="U88">IF(IFERROR(_xlfn.IFNA(LOOKUP(2,1/('Project SqFt'!$A$18:$A$87=S88)/('Project SqFt'!$B$18:$B$87=T88),'Project SqFt'!$F$18:$F$87),LOOKUP(2,1/('Project SqFt'!$H$18:$H$87=S88)/('Project SqFt'!$I$18:$I$87=T88),'Project SqFt'!$M$18:$M$87)),LOOKUP(2,1/('Project SqFt'!$P$18:$P$87=S88)/('Project SqFt'!$Q$18:$Q$87=T88),'Project SqFt'!$U$18:$U$87))=0,"",IFERROR(_xlfn.IFNA(LOOKUP(2,1/('Project SqFt'!$A$18:$A$87=S88)/('Project SqFt'!$B$18:$B$87=T88),'Project SqFt'!$F$18:$F$87),LOOKUP(2,1/('Project SqFt'!$H$18:$H$87=S88)/('Project SqFt'!$I$18:$I$87=T88),'Project SqFt'!$M$18:$M$87)),LOOKUP(2,1/('Project SqFt'!$P$18:$P$87=S88)/('Project SqFt'!$Q$18:$Q$87=T88),'Project SqFt'!$U$18:$U$87)))</f>
        <v/>
      </c>
      <c r="V88" s="934"/>
      <c r="W88" s="934"/>
      <c r="X88" s="934"/>
      <c r="Y88" s="934"/>
      <c r="Z88" s="934"/>
      <c r="AA88" s="194" t="str" cm="1">
        <f t="array" ref="AA88">IF(IFERROR(_xlfn.IFNA(LOOKUP(2,1/('Project SqFt'!$A$18:$A$87=S88)/('Project SqFt'!$B$18:$B$87=T88),'Project SqFt'!$C$18:$C$87),LOOKUP(2,1/('Project SqFt'!$H$18:$H$87=S88)/('Project SqFt'!$I$18:$I$87=T88),'Project SqFt'!$K$18:$K$87)),LOOKUP(2,1/('Project SqFt'!$P$18:$P$87=S88)/('Project SqFt'!$Q$18:$Q$87=T88),'Project SqFt'!$R$18:$R$87))="","",IFERROR(_xlfn.IFNA(LOOKUP(2,1/('Project SqFt'!$A$18:$A$87=S88)/('Project SqFt'!$B$18:$B$87=T88),'Project SqFt'!$C$18:$C$87),LOOKUP(2,1/('Project SqFt'!$H$18:$H$87=S88)/('Project SqFt'!$I$18:$I$87=T88),'Project SqFt'!$K$18:$K$87)),LOOKUP(2,1/('Project SqFt'!$P$18:$P$87=S88)/('Project SqFt'!$Q$18:$Q$87=T88),'Project SqFt'!$R$18:$R$87)))</f>
        <v/>
      </c>
      <c r="AB88" s="194" t="str" cm="1">
        <f t="array" ref="AB88">IF(IFERROR(_xlfn.IFNA(LOOKUP(2,1/('Project SqFt'!$A$18:$A$87=S88)/('Project SqFt'!$B$18:$B$87=T88),'Project SqFt'!$D$18:$D$87),LOOKUP(2,1/('Project SqFt'!$H$18:$H$87=S88)/('Project SqFt'!$I$18:$I$87=T88),'Project SqFt'!$L$18:$L$87)),LOOKUP(2,1/('Project SqFt'!$P$18:$P$87=S88)/('Project SqFt'!$Q$18:$Q$87=T88),'Project SqFt'!$T$18:$T$87))="","",IFERROR(_xlfn.IFNA(LOOKUP(2,1/('Project SqFt'!$A$18:$A$87=S88)/('Project SqFt'!$B$18:$B$87=T88),'Project SqFt'!$D$18:$D$87),LOOKUP(2,1/('Project SqFt'!$H$18:$H$87=S88)/('Project SqFt'!$I$18:$I$87=T88),'Project SqFt'!$L$18:$L$87)),LOOKUP(2,1/('Project SqFt'!$P$18:$P$87=S88)/('Project SqFt'!$Q$18:$Q$87=T88),'Project SqFt'!$T$18:$T$87)))</f>
        <v/>
      </c>
      <c r="AC88" s="296" t="str">
        <f>IFERROR(ROUNDDOWN(Z49*AA88,0),"")</f>
        <v/>
      </c>
    </row>
    <row r="89" spans="1:29" x14ac:dyDescent="0.25">
      <c r="A89" s="50"/>
      <c r="B89" s="29"/>
      <c r="C89" s="194" t="str" cm="1">
        <f t="array" ref="C89">IF(IFERROR(_xlfn.IFNA(LOOKUP(2,1/('Project SqFt'!$A$18:$A$87=A89)/('Project SqFt'!$B$18:$B$87=B89),'Project SqFt'!$F$18:$F$87),LOOKUP(2,1/('Project SqFt'!$H$18:$H$87=A89)/('Project SqFt'!$I$18:$I$87=B89),'Project SqFt'!$M$18:$M$87)),LOOKUP(2,1/('Project SqFt'!$P$18:$P$87=A89)/('Project SqFt'!$Q$18:$Q$87=B89),'Project SqFt'!$U$18:$U$87))=0,"",IFERROR(_xlfn.IFNA(LOOKUP(2,1/('Project SqFt'!$A$18:$A$87=A89)/('Project SqFt'!$B$18:$B$87=B89),'Project SqFt'!$F$18:$F$87),LOOKUP(2,1/('Project SqFt'!$H$18:$H$87=A89)/('Project SqFt'!$I$18:$I$87=B89),'Project SqFt'!$M$18:$M$87)),LOOKUP(2,1/('Project SqFt'!$P$18:$P$87=A89)/('Project SqFt'!$Q$18:$Q$87=B89),'Project SqFt'!$U$18:$U$87)))</f>
        <v/>
      </c>
      <c r="D89" s="934"/>
      <c r="E89" s="934"/>
      <c r="F89" s="934"/>
      <c r="G89" s="934"/>
      <c r="H89" s="934"/>
      <c r="I89" s="194" t="str" cm="1">
        <f t="array" ref="I89">IF(IFERROR(_xlfn.IFNA(LOOKUP(2,1/('Project SqFt'!$A$18:$A$87=A89)/('Project SqFt'!$B$18:$B$87=B89),'Project SqFt'!$C$18:$C$87),LOOKUP(2,1/('Project SqFt'!$H$18:$H$87=A89)/('Project SqFt'!$I$18:$I$87=B89),'Project SqFt'!$K$18:$K$87)),LOOKUP(2,1/('Project SqFt'!$P$18:$P$87=A89)/('Project SqFt'!$Q$18:$Q$87=B89),'Project SqFt'!$R$18:$R$87))="","",IFERROR(_xlfn.IFNA(LOOKUP(2,1/('Project SqFt'!$A$18:$A$87=A89)/('Project SqFt'!$B$18:$B$87=B89),'Project SqFt'!$C$18:$C$87),LOOKUP(2,1/('Project SqFt'!$H$18:$H$87=A89)/('Project SqFt'!$I$18:$I$87=B89),'Project SqFt'!$K$18:$K$87)),LOOKUP(2,1/('Project SqFt'!$P$18:$P$87=A89)/('Project SqFt'!$Q$18:$Q$87=B89),'Project SqFt'!$R$18:$R$87)))</f>
        <v/>
      </c>
      <c r="J89" s="194" t="str" cm="1">
        <f t="array" ref="J89">IF(IFERROR(_xlfn.IFNA(LOOKUP(2,1/('Project SqFt'!$A$18:$A$87=A89)/('Project SqFt'!$B$18:$B$87=B89),'Project SqFt'!$D$18:$D$87),LOOKUP(2,1/('Project SqFt'!$H$18:$H$87=A89)/('Project SqFt'!$I$18:$I$87=B89),'Project SqFt'!$L$18:$L$87)),LOOKUP(2,1/('Project SqFt'!$P$18:$P$87=A89)/('Project SqFt'!$Q$18:$Q$87=B89),'Project SqFt'!$T$18:$T$87))="","",IFERROR(_xlfn.IFNA(LOOKUP(2,1/('Project SqFt'!$A$18:$A$87=A89)/('Project SqFt'!$B$18:$B$87=B89),'Project SqFt'!$D$18:$D$87),LOOKUP(2,1/('Project SqFt'!$H$18:$H$87=A89)/('Project SqFt'!$I$18:$I$87=B89),'Project SqFt'!$L$18:$L$87)),LOOKUP(2,1/('Project SqFt'!$P$18:$P$87=A89)/('Project SqFt'!$Q$18:$Q$87=B89),'Project SqFt'!$T$18:$T$87)))</f>
        <v/>
      </c>
      <c r="K89" s="296" t="str">
        <f>IFERROR(ROUNDDOWN(H49*I89,0),"")</f>
        <v/>
      </c>
      <c r="S89" s="50"/>
      <c r="T89" s="29"/>
      <c r="U89" s="194" t="str" cm="1">
        <f t="array" ref="U89">IF(IFERROR(_xlfn.IFNA(LOOKUP(2,1/('Project SqFt'!$A$18:$A$87=S89)/('Project SqFt'!$B$18:$B$87=T89),'Project SqFt'!$F$18:$F$87),LOOKUP(2,1/('Project SqFt'!$H$18:$H$87=S89)/('Project SqFt'!$I$18:$I$87=T89),'Project SqFt'!$M$18:$M$87)),LOOKUP(2,1/('Project SqFt'!$P$18:$P$87=S89)/('Project SqFt'!$Q$18:$Q$87=T89),'Project SqFt'!$U$18:$U$87))=0,"",IFERROR(_xlfn.IFNA(LOOKUP(2,1/('Project SqFt'!$A$18:$A$87=S89)/('Project SqFt'!$B$18:$B$87=T89),'Project SqFt'!$F$18:$F$87),LOOKUP(2,1/('Project SqFt'!$H$18:$H$87=S89)/('Project SqFt'!$I$18:$I$87=T89),'Project SqFt'!$M$18:$M$87)),LOOKUP(2,1/('Project SqFt'!$P$18:$P$87=S89)/('Project SqFt'!$Q$18:$Q$87=T89),'Project SqFt'!$U$18:$U$87)))</f>
        <v/>
      </c>
      <c r="V89" s="934"/>
      <c r="W89" s="934"/>
      <c r="X89" s="934"/>
      <c r="Y89" s="934"/>
      <c r="Z89" s="934"/>
      <c r="AA89" s="194" t="str" cm="1">
        <f t="array" ref="AA89">IF(IFERROR(_xlfn.IFNA(LOOKUP(2,1/('Project SqFt'!$A$18:$A$87=S89)/('Project SqFt'!$B$18:$B$87=T89),'Project SqFt'!$C$18:$C$87),LOOKUP(2,1/('Project SqFt'!$H$18:$H$87=S89)/('Project SqFt'!$I$18:$I$87=T89),'Project SqFt'!$K$18:$K$87)),LOOKUP(2,1/('Project SqFt'!$P$18:$P$87=S89)/('Project SqFt'!$Q$18:$Q$87=T89),'Project SqFt'!$R$18:$R$87))="","",IFERROR(_xlfn.IFNA(LOOKUP(2,1/('Project SqFt'!$A$18:$A$87=S89)/('Project SqFt'!$B$18:$B$87=T89),'Project SqFt'!$C$18:$C$87),LOOKUP(2,1/('Project SqFt'!$H$18:$H$87=S89)/('Project SqFt'!$I$18:$I$87=T89),'Project SqFt'!$K$18:$K$87)),LOOKUP(2,1/('Project SqFt'!$P$18:$P$87=S89)/('Project SqFt'!$Q$18:$Q$87=T89),'Project SqFt'!$R$18:$R$87)))</f>
        <v/>
      </c>
      <c r="AB89" s="194" t="str" cm="1">
        <f t="array" ref="AB89">IF(IFERROR(_xlfn.IFNA(LOOKUP(2,1/('Project SqFt'!$A$18:$A$87=S89)/('Project SqFt'!$B$18:$B$87=T89),'Project SqFt'!$D$18:$D$87),LOOKUP(2,1/('Project SqFt'!$H$18:$H$87=S89)/('Project SqFt'!$I$18:$I$87=T89),'Project SqFt'!$L$18:$L$87)),LOOKUP(2,1/('Project SqFt'!$P$18:$P$87=S89)/('Project SqFt'!$Q$18:$Q$87=T89),'Project SqFt'!$T$18:$T$87))="","",IFERROR(_xlfn.IFNA(LOOKUP(2,1/('Project SqFt'!$A$18:$A$87=S89)/('Project SqFt'!$B$18:$B$87=T89),'Project SqFt'!$D$18:$D$87),LOOKUP(2,1/('Project SqFt'!$H$18:$H$87=S89)/('Project SqFt'!$I$18:$I$87=T89),'Project SqFt'!$L$18:$L$87)),LOOKUP(2,1/('Project SqFt'!$P$18:$P$87=S89)/('Project SqFt'!$Q$18:$Q$87=T89),'Project SqFt'!$T$18:$T$87)))</f>
        <v/>
      </c>
      <c r="AC89" s="296" t="str">
        <f>IFERROR(ROUNDDOWN(Z49*AA89,0),"")</f>
        <v/>
      </c>
    </row>
    <row r="90" spans="1:29" x14ac:dyDescent="0.25">
      <c r="A90" s="50"/>
      <c r="B90" s="29"/>
      <c r="C90" s="194" t="str" cm="1">
        <f t="array" ref="C90">IF(IFERROR(_xlfn.IFNA(LOOKUP(2,1/('Project SqFt'!$A$18:$A$87=A90)/('Project SqFt'!$B$18:$B$87=B90),'Project SqFt'!$F$18:$F$87),LOOKUP(2,1/('Project SqFt'!$H$18:$H$87=A90)/('Project SqFt'!$I$18:$I$87=B90),'Project SqFt'!$M$18:$M$87)),LOOKUP(2,1/('Project SqFt'!$P$18:$P$87=A90)/('Project SqFt'!$Q$18:$Q$87=B90),'Project SqFt'!$U$18:$U$87))=0,"",IFERROR(_xlfn.IFNA(LOOKUP(2,1/('Project SqFt'!$A$18:$A$87=A90)/('Project SqFt'!$B$18:$B$87=B90),'Project SqFt'!$F$18:$F$87),LOOKUP(2,1/('Project SqFt'!$H$18:$H$87=A90)/('Project SqFt'!$I$18:$I$87=B90),'Project SqFt'!$M$18:$M$87)),LOOKUP(2,1/('Project SqFt'!$P$18:$P$87=A90)/('Project SqFt'!$Q$18:$Q$87=B90),'Project SqFt'!$U$18:$U$87)))</f>
        <v/>
      </c>
      <c r="D90" s="934"/>
      <c r="E90" s="934"/>
      <c r="F90" s="934"/>
      <c r="G90" s="934"/>
      <c r="H90" s="934"/>
      <c r="I90" s="194" t="str" cm="1">
        <f t="array" ref="I90">IF(IFERROR(_xlfn.IFNA(LOOKUP(2,1/('Project SqFt'!$A$18:$A$87=A90)/('Project SqFt'!$B$18:$B$87=B90),'Project SqFt'!$C$18:$C$87),LOOKUP(2,1/('Project SqFt'!$H$18:$H$87=A90)/('Project SqFt'!$I$18:$I$87=B90),'Project SqFt'!$K$18:$K$87)),LOOKUP(2,1/('Project SqFt'!$P$18:$P$87=A90)/('Project SqFt'!$Q$18:$Q$87=B90),'Project SqFt'!$R$18:$R$87))="","",IFERROR(_xlfn.IFNA(LOOKUP(2,1/('Project SqFt'!$A$18:$A$87=A90)/('Project SqFt'!$B$18:$B$87=B90),'Project SqFt'!$C$18:$C$87),LOOKUP(2,1/('Project SqFt'!$H$18:$H$87=A90)/('Project SqFt'!$I$18:$I$87=B90),'Project SqFt'!$K$18:$K$87)),LOOKUP(2,1/('Project SqFt'!$P$18:$P$87=A90)/('Project SqFt'!$Q$18:$Q$87=B90),'Project SqFt'!$R$18:$R$87)))</f>
        <v/>
      </c>
      <c r="J90" s="194" t="str" cm="1">
        <f t="array" ref="J90">IF(IFERROR(_xlfn.IFNA(LOOKUP(2,1/('Project SqFt'!$A$18:$A$87=A90)/('Project SqFt'!$B$18:$B$87=B90),'Project SqFt'!$D$18:$D$87),LOOKUP(2,1/('Project SqFt'!$H$18:$H$87=A90)/('Project SqFt'!$I$18:$I$87=B90),'Project SqFt'!$L$18:$L$87)),LOOKUP(2,1/('Project SqFt'!$P$18:$P$87=A90)/('Project SqFt'!$Q$18:$Q$87=B90),'Project SqFt'!$T$18:$T$87))="","",IFERROR(_xlfn.IFNA(LOOKUP(2,1/('Project SqFt'!$A$18:$A$87=A90)/('Project SqFt'!$B$18:$B$87=B90),'Project SqFt'!$D$18:$D$87),LOOKUP(2,1/('Project SqFt'!$H$18:$H$87=A90)/('Project SqFt'!$I$18:$I$87=B90),'Project SqFt'!$L$18:$L$87)),LOOKUP(2,1/('Project SqFt'!$P$18:$P$87=A90)/('Project SqFt'!$Q$18:$Q$87=B90),'Project SqFt'!$T$18:$T$87)))</f>
        <v/>
      </c>
      <c r="K90" s="296" t="str">
        <f>IFERROR(ROUNDDOWN(H49*I90,0),"")</f>
        <v/>
      </c>
      <c r="S90" s="50"/>
      <c r="T90" s="29"/>
      <c r="U90" s="194" t="str" cm="1">
        <f t="array" ref="U90">IF(IFERROR(_xlfn.IFNA(LOOKUP(2,1/('Project SqFt'!$A$18:$A$87=S90)/('Project SqFt'!$B$18:$B$87=T90),'Project SqFt'!$F$18:$F$87),LOOKUP(2,1/('Project SqFt'!$H$18:$H$87=S90)/('Project SqFt'!$I$18:$I$87=T90),'Project SqFt'!$M$18:$M$87)),LOOKUP(2,1/('Project SqFt'!$P$18:$P$87=S90)/('Project SqFt'!$Q$18:$Q$87=T90),'Project SqFt'!$U$18:$U$87))=0,"",IFERROR(_xlfn.IFNA(LOOKUP(2,1/('Project SqFt'!$A$18:$A$87=S90)/('Project SqFt'!$B$18:$B$87=T90),'Project SqFt'!$F$18:$F$87),LOOKUP(2,1/('Project SqFt'!$H$18:$H$87=S90)/('Project SqFt'!$I$18:$I$87=T90),'Project SqFt'!$M$18:$M$87)),LOOKUP(2,1/('Project SqFt'!$P$18:$P$87=S90)/('Project SqFt'!$Q$18:$Q$87=T90),'Project SqFt'!$U$18:$U$87)))</f>
        <v/>
      </c>
      <c r="V90" s="934"/>
      <c r="W90" s="934"/>
      <c r="X90" s="934"/>
      <c r="Y90" s="934"/>
      <c r="Z90" s="934"/>
      <c r="AA90" s="194" t="str" cm="1">
        <f t="array" ref="AA90">IF(IFERROR(_xlfn.IFNA(LOOKUP(2,1/('Project SqFt'!$A$18:$A$87=S90)/('Project SqFt'!$B$18:$B$87=T90),'Project SqFt'!$C$18:$C$87),LOOKUP(2,1/('Project SqFt'!$H$18:$H$87=S90)/('Project SqFt'!$I$18:$I$87=T90),'Project SqFt'!$K$18:$K$87)),LOOKUP(2,1/('Project SqFt'!$P$18:$P$87=S90)/('Project SqFt'!$Q$18:$Q$87=T90),'Project SqFt'!$R$18:$R$87))="","",IFERROR(_xlfn.IFNA(LOOKUP(2,1/('Project SqFt'!$A$18:$A$87=S90)/('Project SqFt'!$B$18:$B$87=T90),'Project SqFt'!$C$18:$C$87),LOOKUP(2,1/('Project SqFt'!$H$18:$H$87=S90)/('Project SqFt'!$I$18:$I$87=T90),'Project SqFt'!$K$18:$K$87)),LOOKUP(2,1/('Project SqFt'!$P$18:$P$87=S90)/('Project SqFt'!$Q$18:$Q$87=T90),'Project SqFt'!$R$18:$R$87)))</f>
        <v/>
      </c>
      <c r="AB90" s="194" t="str" cm="1">
        <f t="array" ref="AB90">IF(IFERROR(_xlfn.IFNA(LOOKUP(2,1/('Project SqFt'!$A$18:$A$87=S90)/('Project SqFt'!$B$18:$B$87=T90),'Project SqFt'!$D$18:$D$87),LOOKUP(2,1/('Project SqFt'!$H$18:$H$87=S90)/('Project SqFt'!$I$18:$I$87=T90),'Project SqFt'!$L$18:$L$87)),LOOKUP(2,1/('Project SqFt'!$P$18:$P$87=S90)/('Project SqFt'!$Q$18:$Q$87=T90),'Project SqFt'!$T$18:$T$87))="","",IFERROR(_xlfn.IFNA(LOOKUP(2,1/('Project SqFt'!$A$18:$A$87=S90)/('Project SqFt'!$B$18:$B$87=T90),'Project SqFt'!$D$18:$D$87),LOOKUP(2,1/('Project SqFt'!$H$18:$H$87=S90)/('Project SqFt'!$I$18:$I$87=T90),'Project SqFt'!$L$18:$L$87)),LOOKUP(2,1/('Project SqFt'!$P$18:$P$87=S90)/('Project SqFt'!$Q$18:$Q$87=T90),'Project SqFt'!$T$18:$T$87)))</f>
        <v/>
      </c>
      <c r="AC90" s="296" t="str">
        <f>IFERROR(ROUNDDOWN(Z49*AA90,0),"")</f>
        <v/>
      </c>
    </row>
    <row r="91" spans="1:29" x14ac:dyDescent="0.25">
      <c r="A91" s="50"/>
      <c r="B91" s="29"/>
      <c r="C91" s="194" t="str" cm="1">
        <f t="array" ref="C91">IF(IFERROR(_xlfn.IFNA(LOOKUP(2,1/('Project SqFt'!$A$18:$A$87=A91)/('Project SqFt'!$B$18:$B$87=B91),'Project SqFt'!$F$18:$F$87),LOOKUP(2,1/('Project SqFt'!$H$18:$H$87=A91)/('Project SqFt'!$I$18:$I$87=B91),'Project SqFt'!$M$18:$M$87)),LOOKUP(2,1/('Project SqFt'!$P$18:$P$87=A91)/('Project SqFt'!$Q$18:$Q$87=B91),'Project SqFt'!$U$18:$U$87))=0,"",IFERROR(_xlfn.IFNA(LOOKUP(2,1/('Project SqFt'!$A$18:$A$87=A91)/('Project SqFt'!$B$18:$B$87=B91),'Project SqFt'!$F$18:$F$87),LOOKUP(2,1/('Project SqFt'!$H$18:$H$87=A91)/('Project SqFt'!$I$18:$I$87=B91),'Project SqFt'!$M$18:$M$87)),LOOKUP(2,1/('Project SqFt'!$P$18:$P$87=A91)/('Project SqFt'!$Q$18:$Q$87=B91),'Project SqFt'!$U$18:$U$87)))</f>
        <v/>
      </c>
      <c r="D91" s="934"/>
      <c r="E91" s="934"/>
      <c r="F91" s="934"/>
      <c r="G91" s="934"/>
      <c r="H91" s="934"/>
      <c r="I91" s="194" t="str" cm="1">
        <f t="array" ref="I91">IF(IFERROR(_xlfn.IFNA(LOOKUP(2,1/('Project SqFt'!$A$18:$A$87=A91)/('Project SqFt'!$B$18:$B$87=B91),'Project SqFt'!$C$18:$C$87),LOOKUP(2,1/('Project SqFt'!$H$18:$H$87=A91)/('Project SqFt'!$I$18:$I$87=B91),'Project SqFt'!$K$18:$K$87)),LOOKUP(2,1/('Project SqFt'!$P$18:$P$87=A91)/('Project SqFt'!$Q$18:$Q$87=B91),'Project SqFt'!$R$18:$R$87))="","",IFERROR(_xlfn.IFNA(LOOKUP(2,1/('Project SqFt'!$A$18:$A$87=A91)/('Project SqFt'!$B$18:$B$87=B91),'Project SqFt'!$C$18:$C$87),LOOKUP(2,1/('Project SqFt'!$H$18:$H$87=A91)/('Project SqFt'!$I$18:$I$87=B91),'Project SqFt'!$K$18:$K$87)),LOOKUP(2,1/('Project SqFt'!$P$18:$P$87=A91)/('Project SqFt'!$Q$18:$Q$87=B91),'Project SqFt'!$R$18:$R$87)))</f>
        <v/>
      </c>
      <c r="J91" s="194" t="str" cm="1">
        <f t="array" ref="J91">IF(IFERROR(_xlfn.IFNA(LOOKUP(2,1/('Project SqFt'!$A$18:$A$87=A91)/('Project SqFt'!$B$18:$B$87=B91),'Project SqFt'!$D$18:$D$87),LOOKUP(2,1/('Project SqFt'!$H$18:$H$87=A91)/('Project SqFt'!$I$18:$I$87=B91),'Project SqFt'!$L$18:$L$87)),LOOKUP(2,1/('Project SqFt'!$P$18:$P$87=A91)/('Project SqFt'!$Q$18:$Q$87=B91),'Project SqFt'!$T$18:$T$87))="","",IFERROR(_xlfn.IFNA(LOOKUP(2,1/('Project SqFt'!$A$18:$A$87=A91)/('Project SqFt'!$B$18:$B$87=B91),'Project SqFt'!$D$18:$D$87),LOOKUP(2,1/('Project SqFt'!$H$18:$H$87=A91)/('Project SqFt'!$I$18:$I$87=B91),'Project SqFt'!$L$18:$L$87)),LOOKUP(2,1/('Project SqFt'!$P$18:$P$87=A91)/('Project SqFt'!$Q$18:$Q$87=B91),'Project SqFt'!$T$18:$T$87)))</f>
        <v/>
      </c>
      <c r="K91" s="296" t="str">
        <f>IFERROR(ROUNDDOWN(H49*I91,0),"")</f>
        <v/>
      </c>
      <c r="S91" s="50"/>
      <c r="T91" s="29"/>
      <c r="U91" s="194" t="str" cm="1">
        <f t="array" ref="U91">IF(IFERROR(_xlfn.IFNA(LOOKUP(2,1/('Project SqFt'!$A$18:$A$87=S91)/('Project SqFt'!$B$18:$B$87=T91),'Project SqFt'!$F$18:$F$87),LOOKUP(2,1/('Project SqFt'!$H$18:$H$87=S91)/('Project SqFt'!$I$18:$I$87=T91),'Project SqFt'!$M$18:$M$87)),LOOKUP(2,1/('Project SqFt'!$P$18:$P$87=S91)/('Project SqFt'!$Q$18:$Q$87=T91),'Project SqFt'!$U$18:$U$87))=0,"",IFERROR(_xlfn.IFNA(LOOKUP(2,1/('Project SqFt'!$A$18:$A$87=S91)/('Project SqFt'!$B$18:$B$87=T91),'Project SqFt'!$F$18:$F$87),LOOKUP(2,1/('Project SqFt'!$H$18:$H$87=S91)/('Project SqFt'!$I$18:$I$87=T91),'Project SqFt'!$M$18:$M$87)),LOOKUP(2,1/('Project SqFt'!$P$18:$P$87=S91)/('Project SqFt'!$Q$18:$Q$87=T91),'Project SqFt'!$U$18:$U$87)))</f>
        <v/>
      </c>
      <c r="V91" s="934"/>
      <c r="W91" s="934"/>
      <c r="X91" s="934"/>
      <c r="Y91" s="934"/>
      <c r="Z91" s="934"/>
      <c r="AA91" s="194" t="str" cm="1">
        <f t="array" ref="AA91">IF(IFERROR(_xlfn.IFNA(LOOKUP(2,1/('Project SqFt'!$A$18:$A$87=S91)/('Project SqFt'!$B$18:$B$87=T91),'Project SqFt'!$C$18:$C$87),LOOKUP(2,1/('Project SqFt'!$H$18:$H$87=S91)/('Project SqFt'!$I$18:$I$87=T91),'Project SqFt'!$K$18:$K$87)),LOOKUP(2,1/('Project SqFt'!$P$18:$P$87=S91)/('Project SqFt'!$Q$18:$Q$87=T91),'Project SqFt'!$R$18:$R$87))="","",IFERROR(_xlfn.IFNA(LOOKUP(2,1/('Project SqFt'!$A$18:$A$87=S91)/('Project SqFt'!$B$18:$B$87=T91),'Project SqFt'!$C$18:$C$87),LOOKUP(2,1/('Project SqFt'!$H$18:$H$87=S91)/('Project SqFt'!$I$18:$I$87=T91),'Project SqFt'!$K$18:$K$87)),LOOKUP(2,1/('Project SqFt'!$P$18:$P$87=S91)/('Project SqFt'!$Q$18:$Q$87=T91),'Project SqFt'!$R$18:$R$87)))</f>
        <v/>
      </c>
      <c r="AB91" s="194" t="str" cm="1">
        <f t="array" ref="AB91">IF(IFERROR(_xlfn.IFNA(LOOKUP(2,1/('Project SqFt'!$A$18:$A$87=S91)/('Project SqFt'!$B$18:$B$87=T91),'Project SqFt'!$D$18:$D$87),LOOKUP(2,1/('Project SqFt'!$H$18:$H$87=S91)/('Project SqFt'!$I$18:$I$87=T91),'Project SqFt'!$L$18:$L$87)),LOOKUP(2,1/('Project SqFt'!$P$18:$P$87=S91)/('Project SqFt'!$Q$18:$Q$87=T91),'Project SqFt'!$T$18:$T$87))="","",IFERROR(_xlfn.IFNA(LOOKUP(2,1/('Project SqFt'!$A$18:$A$87=S91)/('Project SqFt'!$B$18:$B$87=T91),'Project SqFt'!$D$18:$D$87),LOOKUP(2,1/('Project SqFt'!$H$18:$H$87=S91)/('Project SqFt'!$I$18:$I$87=T91),'Project SqFt'!$L$18:$L$87)),LOOKUP(2,1/('Project SqFt'!$P$18:$P$87=S91)/('Project SqFt'!$Q$18:$Q$87=T91),'Project SqFt'!$T$18:$T$87)))</f>
        <v/>
      </c>
      <c r="AC91" s="296" t="str">
        <f>IFERROR(ROUNDDOWN(Z49*AA91,0),"")</f>
        <v/>
      </c>
    </row>
    <row r="92" spans="1:29" x14ac:dyDescent="0.25">
      <c r="A92" s="50"/>
      <c r="B92" s="29"/>
      <c r="C92" s="194" t="str" cm="1">
        <f t="array" ref="C92">IF(IFERROR(_xlfn.IFNA(LOOKUP(2,1/('Project SqFt'!$A$18:$A$87=A92)/('Project SqFt'!$B$18:$B$87=B92),'Project SqFt'!$F$18:$F$87),LOOKUP(2,1/('Project SqFt'!$H$18:$H$87=A92)/('Project SqFt'!$I$18:$I$87=B92),'Project SqFt'!$M$18:$M$87)),LOOKUP(2,1/('Project SqFt'!$P$18:$P$87=A92)/('Project SqFt'!$Q$18:$Q$87=B92),'Project SqFt'!$U$18:$U$87))=0,"",IFERROR(_xlfn.IFNA(LOOKUP(2,1/('Project SqFt'!$A$18:$A$87=A92)/('Project SqFt'!$B$18:$B$87=B92),'Project SqFt'!$F$18:$F$87),LOOKUP(2,1/('Project SqFt'!$H$18:$H$87=A92)/('Project SqFt'!$I$18:$I$87=B92),'Project SqFt'!$M$18:$M$87)),LOOKUP(2,1/('Project SqFt'!$P$18:$P$87=A92)/('Project SqFt'!$Q$18:$Q$87=B92),'Project SqFt'!$U$18:$U$87)))</f>
        <v/>
      </c>
      <c r="D92" s="934"/>
      <c r="E92" s="934"/>
      <c r="F92" s="934"/>
      <c r="G92" s="934"/>
      <c r="H92" s="934"/>
      <c r="I92" s="194" t="str" cm="1">
        <f t="array" ref="I92">IF(IFERROR(_xlfn.IFNA(LOOKUP(2,1/('Project SqFt'!$A$18:$A$87=A92)/('Project SqFt'!$B$18:$B$87=B92),'Project SqFt'!$C$18:$C$87),LOOKUP(2,1/('Project SqFt'!$H$18:$H$87=A92)/('Project SqFt'!$I$18:$I$87=B92),'Project SqFt'!$K$18:$K$87)),LOOKUP(2,1/('Project SqFt'!$P$18:$P$87=A92)/('Project SqFt'!$Q$18:$Q$87=B92),'Project SqFt'!$R$18:$R$87))="","",IFERROR(_xlfn.IFNA(LOOKUP(2,1/('Project SqFt'!$A$18:$A$87=A92)/('Project SqFt'!$B$18:$B$87=B92),'Project SqFt'!$C$18:$C$87),LOOKUP(2,1/('Project SqFt'!$H$18:$H$87=A92)/('Project SqFt'!$I$18:$I$87=B92),'Project SqFt'!$K$18:$K$87)),LOOKUP(2,1/('Project SqFt'!$P$18:$P$87=A92)/('Project SqFt'!$Q$18:$Q$87=B92),'Project SqFt'!$R$18:$R$87)))</f>
        <v/>
      </c>
      <c r="J92" s="194" t="str" cm="1">
        <f t="array" ref="J92">IF(IFERROR(_xlfn.IFNA(LOOKUP(2,1/('Project SqFt'!$A$18:$A$87=A92)/('Project SqFt'!$B$18:$B$87=B92),'Project SqFt'!$D$18:$D$87),LOOKUP(2,1/('Project SqFt'!$H$18:$H$87=A92)/('Project SqFt'!$I$18:$I$87=B92),'Project SqFt'!$L$18:$L$87)),LOOKUP(2,1/('Project SqFt'!$P$18:$P$87=A92)/('Project SqFt'!$Q$18:$Q$87=B92),'Project SqFt'!$T$18:$T$87))="","",IFERROR(_xlfn.IFNA(LOOKUP(2,1/('Project SqFt'!$A$18:$A$87=A92)/('Project SqFt'!$B$18:$B$87=B92),'Project SqFt'!$D$18:$D$87),LOOKUP(2,1/('Project SqFt'!$H$18:$H$87=A92)/('Project SqFt'!$I$18:$I$87=B92),'Project SqFt'!$L$18:$L$87)),LOOKUP(2,1/('Project SqFt'!$P$18:$P$87=A92)/('Project SqFt'!$Q$18:$Q$87=B92),'Project SqFt'!$T$18:$T$87)))</f>
        <v/>
      </c>
      <c r="K92" s="296" t="str">
        <f>IFERROR(ROUNDDOWN(H49*I92,0),"")</f>
        <v/>
      </c>
      <c r="S92" s="50"/>
      <c r="T92" s="29"/>
      <c r="U92" s="194" t="str" cm="1">
        <f t="array" ref="U92">IF(IFERROR(_xlfn.IFNA(LOOKUP(2,1/('Project SqFt'!$A$18:$A$87=S92)/('Project SqFt'!$B$18:$B$87=T92),'Project SqFt'!$F$18:$F$87),LOOKUP(2,1/('Project SqFt'!$H$18:$H$87=S92)/('Project SqFt'!$I$18:$I$87=T92),'Project SqFt'!$M$18:$M$87)),LOOKUP(2,1/('Project SqFt'!$P$18:$P$87=S92)/('Project SqFt'!$Q$18:$Q$87=T92),'Project SqFt'!$U$18:$U$87))=0,"",IFERROR(_xlfn.IFNA(LOOKUP(2,1/('Project SqFt'!$A$18:$A$87=S92)/('Project SqFt'!$B$18:$B$87=T92),'Project SqFt'!$F$18:$F$87),LOOKUP(2,1/('Project SqFt'!$H$18:$H$87=S92)/('Project SqFt'!$I$18:$I$87=T92),'Project SqFt'!$M$18:$M$87)),LOOKUP(2,1/('Project SqFt'!$P$18:$P$87=S92)/('Project SqFt'!$Q$18:$Q$87=T92),'Project SqFt'!$U$18:$U$87)))</f>
        <v/>
      </c>
      <c r="V92" s="934"/>
      <c r="W92" s="934"/>
      <c r="X92" s="934"/>
      <c r="Y92" s="934"/>
      <c r="Z92" s="934"/>
      <c r="AA92" s="194" t="str" cm="1">
        <f t="array" ref="AA92">IF(IFERROR(_xlfn.IFNA(LOOKUP(2,1/('Project SqFt'!$A$18:$A$87=S92)/('Project SqFt'!$B$18:$B$87=T92),'Project SqFt'!$C$18:$C$87),LOOKUP(2,1/('Project SqFt'!$H$18:$H$87=S92)/('Project SqFt'!$I$18:$I$87=T92),'Project SqFt'!$K$18:$K$87)),LOOKUP(2,1/('Project SqFt'!$P$18:$P$87=S92)/('Project SqFt'!$Q$18:$Q$87=T92),'Project SqFt'!$R$18:$R$87))="","",IFERROR(_xlfn.IFNA(LOOKUP(2,1/('Project SqFt'!$A$18:$A$87=S92)/('Project SqFt'!$B$18:$B$87=T92),'Project SqFt'!$C$18:$C$87),LOOKUP(2,1/('Project SqFt'!$H$18:$H$87=S92)/('Project SqFt'!$I$18:$I$87=T92),'Project SqFt'!$K$18:$K$87)),LOOKUP(2,1/('Project SqFt'!$P$18:$P$87=S92)/('Project SqFt'!$Q$18:$Q$87=T92),'Project SqFt'!$R$18:$R$87)))</f>
        <v/>
      </c>
      <c r="AB92" s="194" t="str" cm="1">
        <f t="array" ref="AB92">IF(IFERROR(_xlfn.IFNA(LOOKUP(2,1/('Project SqFt'!$A$18:$A$87=S92)/('Project SqFt'!$B$18:$B$87=T92),'Project SqFt'!$D$18:$D$87),LOOKUP(2,1/('Project SqFt'!$H$18:$H$87=S92)/('Project SqFt'!$I$18:$I$87=T92),'Project SqFt'!$L$18:$L$87)),LOOKUP(2,1/('Project SqFt'!$P$18:$P$87=S92)/('Project SqFt'!$Q$18:$Q$87=T92),'Project SqFt'!$T$18:$T$87))="","",IFERROR(_xlfn.IFNA(LOOKUP(2,1/('Project SqFt'!$A$18:$A$87=S92)/('Project SqFt'!$B$18:$B$87=T92),'Project SqFt'!$D$18:$D$87),LOOKUP(2,1/('Project SqFt'!$H$18:$H$87=S92)/('Project SqFt'!$I$18:$I$87=T92),'Project SqFt'!$L$18:$L$87)),LOOKUP(2,1/('Project SqFt'!$P$18:$P$87=S92)/('Project SqFt'!$Q$18:$Q$87=T92),'Project SqFt'!$T$18:$T$87)))</f>
        <v/>
      </c>
      <c r="AC92" s="296" t="str">
        <f>IFERROR(ROUNDDOWN(Z49*AA92,0),"")</f>
        <v/>
      </c>
    </row>
    <row r="93" spans="1:29" x14ac:dyDescent="0.25">
      <c r="A93" s="50"/>
      <c r="B93" s="29"/>
      <c r="C93" s="194" t="str" cm="1">
        <f t="array" ref="C93">IF(IFERROR(_xlfn.IFNA(LOOKUP(2,1/('Project SqFt'!$A$18:$A$87=A93)/('Project SqFt'!$B$18:$B$87=B93),'Project SqFt'!$F$18:$F$87),LOOKUP(2,1/('Project SqFt'!$H$18:$H$87=A93)/('Project SqFt'!$I$18:$I$87=B93),'Project SqFt'!$M$18:$M$87)),LOOKUP(2,1/('Project SqFt'!$P$18:$P$87=A93)/('Project SqFt'!$Q$18:$Q$87=B93),'Project SqFt'!$U$18:$U$87))=0,"",IFERROR(_xlfn.IFNA(LOOKUP(2,1/('Project SqFt'!$A$18:$A$87=A93)/('Project SqFt'!$B$18:$B$87=B93),'Project SqFt'!$F$18:$F$87),LOOKUP(2,1/('Project SqFt'!$H$18:$H$87=A93)/('Project SqFt'!$I$18:$I$87=B93),'Project SqFt'!$M$18:$M$87)),LOOKUP(2,1/('Project SqFt'!$P$18:$P$87=A93)/('Project SqFt'!$Q$18:$Q$87=B93),'Project SqFt'!$U$18:$U$87)))</f>
        <v/>
      </c>
      <c r="D93" s="934"/>
      <c r="E93" s="934"/>
      <c r="F93" s="934"/>
      <c r="G93" s="934"/>
      <c r="H93" s="934"/>
      <c r="I93" s="194" t="str" cm="1">
        <f t="array" ref="I93">IF(IFERROR(_xlfn.IFNA(LOOKUP(2,1/('Project SqFt'!$A$18:$A$87=A93)/('Project SqFt'!$B$18:$B$87=B93),'Project SqFt'!$C$18:$C$87),LOOKUP(2,1/('Project SqFt'!$H$18:$H$87=A93)/('Project SqFt'!$I$18:$I$87=B93),'Project SqFt'!$K$18:$K$87)),LOOKUP(2,1/('Project SqFt'!$P$18:$P$87=A93)/('Project SqFt'!$Q$18:$Q$87=B93),'Project SqFt'!$R$18:$R$87))="","",IFERROR(_xlfn.IFNA(LOOKUP(2,1/('Project SqFt'!$A$18:$A$87=A93)/('Project SqFt'!$B$18:$B$87=B93),'Project SqFt'!$C$18:$C$87),LOOKUP(2,1/('Project SqFt'!$H$18:$H$87=A93)/('Project SqFt'!$I$18:$I$87=B93),'Project SqFt'!$K$18:$K$87)),LOOKUP(2,1/('Project SqFt'!$P$18:$P$87=A93)/('Project SqFt'!$Q$18:$Q$87=B93),'Project SqFt'!$R$18:$R$87)))</f>
        <v/>
      </c>
      <c r="J93" s="194" t="str" cm="1">
        <f t="array" ref="J93">IF(IFERROR(_xlfn.IFNA(LOOKUP(2,1/('Project SqFt'!$A$18:$A$87=A93)/('Project SqFt'!$B$18:$B$87=B93),'Project SqFt'!$D$18:$D$87),LOOKUP(2,1/('Project SqFt'!$H$18:$H$87=A93)/('Project SqFt'!$I$18:$I$87=B93),'Project SqFt'!$L$18:$L$87)),LOOKUP(2,1/('Project SqFt'!$P$18:$P$87=A93)/('Project SqFt'!$Q$18:$Q$87=B93),'Project SqFt'!$T$18:$T$87))="","",IFERROR(_xlfn.IFNA(LOOKUP(2,1/('Project SqFt'!$A$18:$A$87=A93)/('Project SqFt'!$B$18:$B$87=B93),'Project SqFt'!$D$18:$D$87),LOOKUP(2,1/('Project SqFt'!$H$18:$H$87=A93)/('Project SqFt'!$I$18:$I$87=B93),'Project SqFt'!$L$18:$L$87)),LOOKUP(2,1/('Project SqFt'!$P$18:$P$87=A93)/('Project SqFt'!$Q$18:$Q$87=B93),'Project SqFt'!$T$18:$T$87)))</f>
        <v/>
      </c>
      <c r="K93" s="296" t="str">
        <f>IFERROR(ROUNDDOWN(H49*I93,0),"")</f>
        <v/>
      </c>
      <c r="S93" s="50"/>
      <c r="T93" s="29"/>
      <c r="U93" s="194" t="str" cm="1">
        <f t="array" ref="U93">IF(IFERROR(_xlfn.IFNA(LOOKUP(2,1/('Project SqFt'!$A$18:$A$87=S93)/('Project SqFt'!$B$18:$B$87=T93),'Project SqFt'!$F$18:$F$87),LOOKUP(2,1/('Project SqFt'!$H$18:$H$87=S93)/('Project SqFt'!$I$18:$I$87=T93),'Project SqFt'!$M$18:$M$87)),LOOKUP(2,1/('Project SqFt'!$P$18:$P$87=S93)/('Project SqFt'!$Q$18:$Q$87=T93),'Project SqFt'!$U$18:$U$87))=0,"",IFERROR(_xlfn.IFNA(LOOKUP(2,1/('Project SqFt'!$A$18:$A$87=S93)/('Project SqFt'!$B$18:$B$87=T93),'Project SqFt'!$F$18:$F$87),LOOKUP(2,1/('Project SqFt'!$H$18:$H$87=S93)/('Project SqFt'!$I$18:$I$87=T93),'Project SqFt'!$M$18:$M$87)),LOOKUP(2,1/('Project SqFt'!$P$18:$P$87=S93)/('Project SqFt'!$Q$18:$Q$87=T93),'Project SqFt'!$U$18:$U$87)))</f>
        <v/>
      </c>
      <c r="V93" s="934"/>
      <c r="W93" s="934"/>
      <c r="X93" s="934"/>
      <c r="Y93" s="934"/>
      <c r="Z93" s="934"/>
      <c r="AA93" s="194" t="str" cm="1">
        <f t="array" ref="AA93">IF(IFERROR(_xlfn.IFNA(LOOKUP(2,1/('Project SqFt'!$A$18:$A$87=S93)/('Project SqFt'!$B$18:$B$87=T93),'Project SqFt'!$C$18:$C$87),LOOKUP(2,1/('Project SqFt'!$H$18:$H$87=S93)/('Project SqFt'!$I$18:$I$87=T93),'Project SqFt'!$K$18:$K$87)),LOOKUP(2,1/('Project SqFt'!$P$18:$P$87=S93)/('Project SqFt'!$Q$18:$Q$87=T93),'Project SqFt'!$R$18:$R$87))="","",IFERROR(_xlfn.IFNA(LOOKUP(2,1/('Project SqFt'!$A$18:$A$87=S93)/('Project SqFt'!$B$18:$B$87=T93),'Project SqFt'!$C$18:$C$87),LOOKUP(2,1/('Project SqFt'!$H$18:$H$87=S93)/('Project SqFt'!$I$18:$I$87=T93),'Project SqFt'!$K$18:$K$87)),LOOKUP(2,1/('Project SqFt'!$P$18:$P$87=S93)/('Project SqFt'!$Q$18:$Q$87=T93),'Project SqFt'!$R$18:$R$87)))</f>
        <v/>
      </c>
      <c r="AB93" s="194" t="str" cm="1">
        <f t="array" ref="AB93">IF(IFERROR(_xlfn.IFNA(LOOKUP(2,1/('Project SqFt'!$A$18:$A$87=S93)/('Project SqFt'!$B$18:$B$87=T93),'Project SqFt'!$D$18:$D$87),LOOKUP(2,1/('Project SqFt'!$H$18:$H$87=S93)/('Project SqFt'!$I$18:$I$87=T93),'Project SqFt'!$L$18:$L$87)),LOOKUP(2,1/('Project SqFt'!$P$18:$P$87=S93)/('Project SqFt'!$Q$18:$Q$87=T93),'Project SqFt'!$T$18:$T$87))="","",IFERROR(_xlfn.IFNA(LOOKUP(2,1/('Project SqFt'!$A$18:$A$87=S93)/('Project SqFt'!$B$18:$B$87=T93),'Project SqFt'!$D$18:$D$87),LOOKUP(2,1/('Project SqFt'!$H$18:$H$87=S93)/('Project SqFt'!$I$18:$I$87=T93),'Project SqFt'!$L$18:$L$87)),LOOKUP(2,1/('Project SqFt'!$P$18:$P$87=S93)/('Project SqFt'!$Q$18:$Q$87=T93),'Project SqFt'!$T$18:$T$87)))</f>
        <v/>
      </c>
      <c r="AC93" s="296" t="str">
        <f>IFERROR(ROUNDDOWN(Z49*AA93,0),"")</f>
        <v/>
      </c>
    </row>
    <row r="94" spans="1:29" x14ac:dyDescent="0.25">
      <c r="A94" s="50"/>
      <c r="B94" s="29"/>
      <c r="C94" s="194" t="str" cm="1">
        <f t="array" ref="C94">IF(IFERROR(_xlfn.IFNA(LOOKUP(2,1/('Project SqFt'!$A$18:$A$87=A94)/('Project SqFt'!$B$18:$B$87=B94),'Project SqFt'!$F$18:$F$87),LOOKUP(2,1/('Project SqFt'!$H$18:$H$87=A94)/('Project SqFt'!$I$18:$I$87=B94),'Project SqFt'!$M$18:$M$87)),LOOKUP(2,1/('Project SqFt'!$P$18:$P$87=A94)/('Project SqFt'!$Q$18:$Q$87=B94),'Project SqFt'!$U$18:$U$87))=0,"",IFERROR(_xlfn.IFNA(LOOKUP(2,1/('Project SqFt'!$A$18:$A$87=A94)/('Project SqFt'!$B$18:$B$87=B94),'Project SqFt'!$F$18:$F$87),LOOKUP(2,1/('Project SqFt'!$H$18:$H$87=A94)/('Project SqFt'!$I$18:$I$87=B94),'Project SqFt'!$M$18:$M$87)),LOOKUP(2,1/('Project SqFt'!$P$18:$P$87=A94)/('Project SqFt'!$Q$18:$Q$87=B94),'Project SqFt'!$U$18:$U$87)))</f>
        <v/>
      </c>
      <c r="D94" s="934"/>
      <c r="E94" s="934"/>
      <c r="F94" s="934"/>
      <c r="G94" s="934"/>
      <c r="H94" s="934"/>
      <c r="I94" s="194" t="str" cm="1">
        <f t="array" ref="I94">IF(IFERROR(_xlfn.IFNA(LOOKUP(2,1/('Project SqFt'!$A$18:$A$87=A94)/('Project SqFt'!$B$18:$B$87=B94),'Project SqFt'!$C$18:$C$87),LOOKUP(2,1/('Project SqFt'!$H$18:$H$87=A94)/('Project SqFt'!$I$18:$I$87=B94),'Project SqFt'!$K$18:$K$87)),LOOKUP(2,1/('Project SqFt'!$P$18:$P$87=A94)/('Project SqFt'!$Q$18:$Q$87=B94),'Project SqFt'!$R$18:$R$87))="","",IFERROR(_xlfn.IFNA(LOOKUP(2,1/('Project SqFt'!$A$18:$A$87=A94)/('Project SqFt'!$B$18:$B$87=B94),'Project SqFt'!$C$18:$C$87),LOOKUP(2,1/('Project SqFt'!$H$18:$H$87=A94)/('Project SqFt'!$I$18:$I$87=B94),'Project SqFt'!$K$18:$K$87)),LOOKUP(2,1/('Project SqFt'!$P$18:$P$87=A94)/('Project SqFt'!$Q$18:$Q$87=B94),'Project SqFt'!$R$18:$R$87)))</f>
        <v/>
      </c>
      <c r="J94" s="194" t="str" cm="1">
        <f t="array" ref="J94">IF(IFERROR(_xlfn.IFNA(LOOKUP(2,1/('Project SqFt'!$A$18:$A$87=A94)/('Project SqFt'!$B$18:$B$87=B94),'Project SqFt'!$D$18:$D$87),LOOKUP(2,1/('Project SqFt'!$H$18:$H$87=A94)/('Project SqFt'!$I$18:$I$87=B94),'Project SqFt'!$L$18:$L$87)),LOOKUP(2,1/('Project SqFt'!$P$18:$P$87=A94)/('Project SqFt'!$Q$18:$Q$87=B94),'Project SqFt'!$T$18:$T$87))="","",IFERROR(_xlfn.IFNA(LOOKUP(2,1/('Project SqFt'!$A$18:$A$87=A94)/('Project SqFt'!$B$18:$B$87=B94),'Project SqFt'!$D$18:$D$87),LOOKUP(2,1/('Project SqFt'!$H$18:$H$87=A94)/('Project SqFt'!$I$18:$I$87=B94),'Project SqFt'!$L$18:$L$87)),LOOKUP(2,1/('Project SqFt'!$P$18:$P$87=A94)/('Project SqFt'!$Q$18:$Q$87=B94),'Project SqFt'!$T$18:$T$87)))</f>
        <v/>
      </c>
      <c r="K94" s="296" t="str">
        <f>IFERROR(ROUNDDOWN(H49*I94,0),"")</f>
        <v/>
      </c>
      <c r="S94" s="50"/>
      <c r="T94" s="29"/>
      <c r="U94" s="194" t="str" cm="1">
        <f t="array" ref="U94">IF(IFERROR(_xlfn.IFNA(LOOKUP(2,1/('Project SqFt'!$A$18:$A$87=S94)/('Project SqFt'!$B$18:$B$87=T94),'Project SqFt'!$F$18:$F$87),LOOKUP(2,1/('Project SqFt'!$H$18:$H$87=S94)/('Project SqFt'!$I$18:$I$87=T94),'Project SqFt'!$M$18:$M$87)),LOOKUP(2,1/('Project SqFt'!$P$18:$P$87=S94)/('Project SqFt'!$Q$18:$Q$87=T94),'Project SqFt'!$U$18:$U$87))=0,"",IFERROR(_xlfn.IFNA(LOOKUP(2,1/('Project SqFt'!$A$18:$A$87=S94)/('Project SqFt'!$B$18:$B$87=T94),'Project SqFt'!$F$18:$F$87),LOOKUP(2,1/('Project SqFt'!$H$18:$H$87=S94)/('Project SqFt'!$I$18:$I$87=T94),'Project SqFt'!$M$18:$M$87)),LOOKUP(2,1/('Project SqFt'!$P$18:$P$87=S94)/('Project SqFt'!$Q$18:$Q$87=T94),'Project SqFt'!$U$18:$U$87)))</f>
        <v/>
      </c>
      <c r="V94" s="934"/>
      <c r="W94" s="934"/>
      <c r="X94" s="934"/>
      <c r="Y94" s="934"/>
      <c r="Z94" s="934"/>
      <c r="AA94" s="194" t="str" cm="1">
        <f t="array" ref="AA94">IF(IFERROR(_xlfn.IFNA(LOOKUP(2,1/('Project SqFt'!$A$18:$A$87=S94)/('Project SqFt'!$B$18:$B$87=T94),'Project SqFt'!$C$18:$C$87),LOOKUP(2,1/('Project SqFt'!$H$18:$H$87=S94)/('Project SqFt'!$I$18:$I$87=T94),'Project SqFt'!$K$18:$K$87)),LOOKUP(2,1/('Project SqFt'!$P$18:$P$87=S94)/('Project SqFt'!$Q$18:$Q$87=T94),'Project SqFt'!$R$18:$R$87))="","",IFERROR(_xlfn.IFNA(LOOKUP(2,1/('Project SqFt'!$A$18:$A$87=S94)/('Project SqFt'!$B$18:$B$87=T94),'Project SqFt'!$C$18:$C$87),LOOKUP(2,1/('Project SqFt'!$H$18:$H$87=S94)/('Project SqFt'!$I$18:$I$87=T94),'Project SqFt'!$K$18:$K$87)),LOOKUP(2,1/('Project SqFt'!$P$18:$P$87=S94)/('Project SqFt'!$Q$18:$Q$87=T94),'Project SqFt'!$R$18:$R$87)))</f>
        <v/>
      </c>
      <c r="AB94" s="194" t="str" cm="1">
        <f t="array" ref="AB94">IF(IFERROR(_xlfn.IFNA(LOOKUP(2,1/('Project SqFt'!$A$18:$A$87=S94)/('Project SqFt'!$B$18:$B$87=T94),'Project SqFt'!$D$18:$D$87),LOOKUP(2,1/('Project SqFt'!$H$18:$H$87=S94)/('Project SqFt'!$I$18:$I$87=T94),'Project SqFt'!$L$18:$L$87)),LOOKUP(2,1/('Project SqFt'!$P$18:$P$87=S94)/('Project SqFt'!$Q$18:$Q$87=T94),'Project SqFt'!$T$18:$T$87))="","",IFERROR(_xlfn.IFNA(LOOKUP(2,1/('Project SqFt'!$A$18:$A$87=S94)/('Project SqFt'!$B$18:$B$87=T94),'Project SqFt'!$D$18:$D$87),LOOKUP(2,1/('Project SqFt'!$H$18:$H$87=S94)/('Project SqFt'!$I$18:$I$87=T94),'Project SqFt'!$L$18:$L$87)),LOOKUP(2,1/('Project SqFt'!$P$18:$P$87=S94)/('Project SqFt'!$Q$18:$Q$87=T94),'Project SqFt'!$T$18:$T$87)))</f>
        <v/>
      </c>
      <c r="AC94" s="296" t="str">
        <f>IFERROR(ROUNDDOWN(Z49*AA94,0),"")</f>
        <v/>
      </c>
    </row>
    <row r="95" spans="1:29" x14ac:dyDescent="0.25">
      <c r="A95" s="50"/>
      <c r="B95" s="29"/>
      <c r="C95" s="194" t="str" cm="1">
        <f t="array" ref="C95">IF(IFERROR(_xlfn.IFNA(LOOKUP(2,1/('Project SqFt'!$A$18:$A$87=A95)/('Project SqFt'!$B$18:$B$87=B95),'Project SqFt'!$F$18:$F$87),LOOKUP(2,1/('Project SqFt'!$H$18:$H$87=A95)/('Project SqFt'!$I$18:$I$87=B95),'Project SqFt'!$M$18:$M$87)),LOOKUP(2,1/('Project SqFt'!$P$18:$P$87=A95)/('Project SqFt'!$Q$18:$Q$87=B95),'Project SqFt'!$U$18:$U$87))=0,"",IFERROR(_xlfn.IFNA(LOOKUP(2,1/('Project SqFt'!$A$18:$A$87=A95)/('Project SqFt'!$B$18:$B$87=B95),'Project SqFt'!$F$18:$F$87),LOOKUP(2,1/('Project SqFt'!$H$18:$H$87=A95)/('Project SqFt'!$I$18:$I$87=B95),'Project SqFt'!$M$18:$M$87)),LOOKUP(2,1/('Project SqFt'!$P$18:$P$87=A95)/('Project SqFt'!$Q$18:$Q$87=B95),'Project SqFt'!$U$18:$U$87)))</f>
        <v/>
      </c>
      <c r="D95" s="934"/>
      <c r="E95" s="934"/>
      <c r="F95" s="934"/>
      <c r="G95" s="934"/>
      <c r="H95" s="934"/>
      <c r="I95" s="194" t="str" cm="1">
        <f t="array" ref="I95">IF(IFERROR(_xlfn.IFNA(LOOKUP(2,1/('Project SqFt'!$A$18:$A$87=A95)/('Project SqFt'!$B$18:$B$87=B95),'Project SqFt'!$C$18:$C$87),LOOKUP(2,1/('Project SqFt'!$H$18:$H$87=A95)/('Project SqFt'!$I$18:$I$87=B95),'Project SqFt'!$K$18:$K$87)),LOOKUP(2,1/('Project SqFt'!$P$18:$P$87=A95)/('Project SqFt'!$Q$18:$Q$87=B95),'Project SqFt'!$R$18:$R$87))="","",IFERROR(_xlfn.IFNA(LOOKUP(2,1/('Project SqFt'!$A$18:$A$87=A95)/('Project SqFt'!$B$18:$B$87=B95),'Project SqFt'!$C$18:$C$87),LOOKUP(2,1/('Project SqFt'!$H$18:$H$87=A95)/('Project SqFt'!$I$18:$I$87=B95),'Project SqFt'!$K$18:$K$87)),LOOKUP(2,1/('Project SqFt'!$P$18:$P$87=A95)/('Project SqFt'!$Q$18:$Q$87=B95),'Project SqFt'!$R$18:$R$87)))</f>
        <v/>
      </c>
      <c r="J95" s="194" t="str" cm="1">
        <f t="array" ref="J95">IF(IFERROR(_xlfn.IFNA(LOOKUP(2,1/('Project SqFt'!$A$18:$A$87=A95)/('Project SqFt'!$B$18:$B$87=B95),'Project SqFt'!$D$18:$D$87),LOOKUP(2,1/('Project SqFt'!$H$18:$H$87=A95)/('Project SqFt'!$I$18:$I$87=B95),'Project SqFt'!$L$18:$L$87)),LOOKUP(2,1/('Project SqFt'!$P$18:$P$87=A95)/('Project SqFt'!$Q$18:$Q$87=B95),'Project SqFt'!$T$18:$T$87))="","",IFERROR(_xlfn.IFNA(LOOKUP(2,1/('Project SqFt'!$A$18:$A$87=A95)/('Project SqFt'!$B$18:$B$87=B95),'Project SqFt'!$D$18:$D$87),LOOKUP(2,1/('Project SqFt'!$H$18:$H$87=A95)/('Project SqFt'!$I$18:$I$87=B95),'Project SqFt'!$L$18:$L$87)),LOOKUP(2,1/('Project SqFt'!$P$18:$P$87=A95)/('Project SqFt'!$Q$18:$Q$87=B95),'Project SqFt'!$T$18:$T$87)))</f>
        <v/>
      </c>
      <c r="K95" s="296" t="str">
        <f>IFERROR(ROUNDDOWN(H49*I95,0),"")</f>
        <v/>
      </c>
      <c r="S95" s="50"/>
      <c r="T95" s="29"/>
      <c r="U95" s="194" t="str" cm="1">
        <f t="array" ref="U95">IF(IFERROR(_xlfn.IFNA(LOOKUP(2,1/('Project SqFt'!$A$18:$A$87=S95)/('Project SqFt'!$B$18:$B$87=T95),'Project SqFt'!$F$18:$F$87),LOOKUP(2,1/('Project SqFt'!$H$18:$H$87=S95)/('Project SqFt'!$I$18:$I$87=T95),'Project SqFt'!$M$18:$M$87)),LOOKUP(2,1/('Project SqFt'!$P$18:$P$87=S95)/('Project SqFt'!$Q$18:$Q$87=T95),'Project SqFt'!$U$18:$U$87))=0,"",IFERROR(_xlfn.IFNA(LOOKUP(2,1/('Project SqFt'!$A$18:$A$87=S95)/('Project SqFt'!$B$18:$B$87=T95),'Project SqFt'!$F$18:$F$87),LOOKUP(2,1/('Project SqFt'!$H$18:$H$87=S95)/('Project SqFt'!$I$18:$I$87=T95),'Project SqFt'!$M$18:$M$87)),LOOKUP(2,1/('Project SqFt'!$P$18:$P$87=S95)/('Project SqFt'!$Q$18:$Q$87=T95),'Project SqFt'!$U$18:$U$87)))</f>
        <v/>
      </c>
      <c r="V95" s="934"/>
      <c r="W95" s="934"/>
      <c r="X95" s="934"/>
      <c r="Y95" s="934"/>
      <c r="Z95" s="934"/>
      <c r="AA95" s="194" t="str" cm="1">
        <f t="array" ref="AA95">IF(IFERROR(_xlfn.IFNA(LOOKUP(2,1/('Project SqFt'!$A$18:$A$87=S95)/('Project SqFt'!$B$18:$B$87=T95),'Project SqFt'!$C$18:$C$87),LOOKUP(2,1/('Project SqFt'!$H$18:$H$87=S95)/('Project SqFt'!$I$18:$I$87=T95),'Project SqFt'!$K$18:$K$87)),LOOKUP(2,1/('Project SqFt'!$P$18:$P$87=S95)/('Project SqFt'!$Q$18:$Q$87=T95),'Project SqFt'!$R$18:$R$87))="","",IFERROR(_xlfn.IFNA(LOOKUP(2,1/('Project SqFt'!$A$18:$A$87=S95)/('Project SqFt'!$B$18:$B$87=T95),'Project SqFt'!$C$18:$C$87),LOOKUP(2,1/('Project SqFt'!$H$18:$H$87=S95)/('Project SqFt'!$I$18:$I$87=T95),'Project SqFt'!$K$18:$K$87)),LOOKUP(2,1/('Project SqFt'!$P$18:$P$87=S95)/('Project SqFt'!$Q$18:$Q$87=T95),'Project SqFt'!$R$18:$R$87)))</f>
        <v/>
      </c>
      <c r="AB95" s="194" t="str" cm="1">
        <f t="array" ref="AB95">IF(IFERROR(_xlfn.IFNA(LOOKUP(2,1/('Project SqFt'!$A$18:$A$87=S95)/('Project SqFt'!$B$18:$B$87=T95),'Project SqFt'!$D$18:$D$87),LOOKUP(2,1/('Project SqFt'!$H$18:$H$87=S95)/('Project SqFt'!$I$18:$I$87=T95),'Project SqFt'!$L$18:$L$87)),LOOKUP(2,1/('Project SqFt'!$P$18:$P$87=S95)/('Project SqFt'!$Q$18:$Q$87=T95),'Project SqFt'!$T$18:$T$87))="","",IFERROR(_xlfn.IFNA(LOOKUP(2,1/('Project SqFt'!$A$18:$A$87=S95)/('Project SqFt'!$B$18:$B$87=T95),'Project SqFt'!$D$18:$D$87),LOOKUP(2,1/('Project SqFt'!$H$18:$H$87=S95)/('Project SqFt'!$I$18:$I$87=T95),'Project SqFt'!$L$18:$L$87)),LOOKUP(2,1/('Project SqFt'!$P$18:$P$87=S95)/('Project SqFt'!$Q$18:$Q$87=T95),'Project SqFt'!$T$18:$T$87)))</f>
        <v/>
      </c>
      <c r="AC95" s="296" t="str">
        <f>IFERROR(ROUNDDOWN(Z49*AA95,0),"")</f>
        <v/>
      </c>
    </row>
    <row r="96" spans="1:29" x14ac:dyDescent="0.25">
      <c r="A96" s="50"/>
      <c r="B96" s="29"/>
      <c r="C96" s="194" t="str" cm="1">
        <f t="array" ref="C96">IF(IFERROR(_xlfn.IFNA(LOOKUP(2,1/('Project SqFt'!$A$18:$A$87=A96)/('Project SqFt'!$B$18:$B$87=B96),'Project SqFt'!$F$18:$F$87),LOOKUP(2,1/('Project SqFt'!$H$18:$H$87=A96)/('Project SqFt'!$I$18:$I$87=B96),'Project SqFt'!$M$18:$M$87)),LOOKUP(2,1/('Project SqFt'!$P$18:$P$87=A96)/('Project SqFt'!$Q$18:$Q$87=B96),'Project SqFt'!$U$18:$U$87))=0,"",IFERROR(_xlfn.IFNA(LOOKUP(2,1/('Project SqFt'!$A$18:$A$87=A96)/('Project SqFt'!$B$18:$B$87=B96),'Project SqFt'!$F$18:$F$87),LOOKUP(2,1/('Project SqFt'!$H$18:$H$87=A96)/('Project SqFt'!$I$18:$I$87=B96),'Project SqFt'!$M$18:$M$87)),LOOKUP(2,1/('Project SqFt'!$P$18:$P$87=A96)/('Project SqFt'!$Q$18:$Q$87=B96),'Project SqFt'!$U$18:$U$87)))</f>
        <v/>
      </c>
      <c r="D96" s="934"/>
      <c r="E96" s="934"/>
      <c r="F96" s="934"/>
      <c r="G96" s="934"/>
      <c r="H96" s="934"/>
      <c r="I96" s="194" t="str" cm="1">
        <f t="array" ref="I96">IF(IFERROR(_xlfn.IFNA(LOOKUP(2,1/('Project SqFt'!$A$18:$A$87=A96)/('Project SqFt'!$B$18:$B$87=B96),'Project SqFt'!$C$18:$C$87),LOOKUP(2,1/('Project SqFt'!$H$18:$H$87=A96)/('Project SqFt'!$I$18:$I$87=B96),'Project SqFt'!$K$18:$K$87)),LOOKUP(2,1/('Project SqFt'!$P$18:$P$87=A96)/('Project SqFt'!$Q$18:$Q$87=B96),'Project SqFt'!$R$18:$R$87))="","",IFERROR(_xlfn.IFNA(LOOKUP(2,1/('Project SqFt'!$A$18:$A$87=A96)/('Project SqFt'!$B$18:$B$87=B96),'Project SqFt'!$C$18:$C$87),LOOKUP(2,1/('Project SqFt'!$H$18:$H$87=A96)/('Project SqFt'!$I$18:$I$87=B96),'Project SqFt'!$K$18:$K$87)),LOOKUP(2,1/('Project SqFt'!$P$18:$P$87=A96)/('Project SqFt'!$Q$18:$Q$87=B96),'Project SqFt'!$R$18:$R$87)))</f>
        <v/>
      </c>
      <c r="J96" s="194" t="str" cm="1">
        <f t="array" ref="J96">IF(IFERROR(_xlfn.IFNA(LOOKUP(2,1/('Project SqFt'!$A$18:$A$87=A96)/('Project SqFt'!$B$18:$B$87=B96),'Project SqFt'!$D$18:$D$87),LOOKUP(2,1/('Project SqFt'!$H$18:$H$87=A96)/('Project SqFt'!$I$18:$I$87=B96),'Project SqFt'!$L$18:$L$87)),LOOKUP(2,1/('Project SqFt'!$P$18:$P$87=A96)/('Project SqFt'!$Q$18:$Q$87=B96),'Project SqFt'!$T$18:$T$87))="","",IFERROR(_xlfn.IFNA(LOOKUP(2,1/('Project SqFt'!$A$18:$A$87=A96)/('Project SqFt'!$B$18:$B$87=B96),'Project SqFt'!$D$18:$D$87),LOOKUP(2,1/('Project SqFt'!$H$18:$H$87=A96)/('Project SqFt'!$I$18:$I$87=B96),'Project SqFt'!$L$18:$L$87)),LOOKUP(2,1/('Project SqFt'!$P$18:$P$87=A96)/('Project SqFt'!$Q$18:$Q$87=B96),'Project SqFt'!$T$18:$T$87)))</f>
        <v/>
      </c>
      <c r="K96" s="296" t="str">
        <f>IFERROR(ROUNDDOWN(H49*I96,0),"")</f>
        <v/>
      </c>
      <c r="S96" s="50"/>
      <c r="T96" s="29"/>
      <c r="U96" s="194" t="str" cm="1">
        <f t="array" ref="U96">IF(IFERROR(_xlfn.IFNA(LOOKUP(2,1/('Project SqFt'!$A$18:$A$87=S96)/('Project SqFt'!$B$18:$B$87=T96),'Project SqFt'!$F$18:$F$87),LOOKUP(2,1/('Project SqFt'!$H$18:$H$87=S96)/('Project SqFt'!$I$18:$I$87=T96),'Project SqFt'!$M$18:$M$87)),LOOKUP(2,1/('Project SqFt'!$P$18:$P$87=S96)/('Project SqFt'!$Q$18:$Q$87=T96),'Project SqFt'!$U$18:$U$87))=0,"",IFERROR(_xlfn.IFNA(LOOKUP(2,1/('Project SqFt'!$A$18:$A$87=S96)/('Project SqFt'!$B$18:$B$87=T96),'Project SqFt'!$F$18:$F$87),LOOKUP(2,1/('Project SqFt'!$H$18:$H$87=S96)/('Project SqFt'!$I$18:$I$87=T96),'Project SqFt'!$M$18:$M$87)),LOOKUP(2,1/('Project SqFt'!$P$18:$P$87=S96)/('Project SqFt'!$Q$18:$Q$87=T96),'Project SqFt'!$U$18:$U$87)))</f>
        <v/>
      </c>
      <c r="V96" s="934"/>
      <c r="W96" s="934"/>
      <c r="X96" s="934"/>
      <c r="Y96" s="934"/>
      <c r="Z96" s="934"/>
      <c r="AA96" s="194" t="str" cm="1">
        <f t="array" ref="AA96">IF(IFERROR(_xlfn.IFNA(LOOKUP(2,1/('Project SqFt'!$A$18:$A$87=S96)/('Project SqFt'!$B$18:$B$87=T96),'Project SqFt'!$C$18:$C$87),LOOKUP(2,1/('Project SqFt'!$H$18:$H$87=S96)/('Project SqFt'!$I$18:$I$87=T96),'Project SqFt'!$K$18:$K$87)),LOOKUP(2,1/('Project SqFt'!$P$18:$P$87=S96)/('Project SqFt'!$Q$18:$Q$87=T96),'Project SqFt'!$R$18:$R$87))="","",IFERROR(_xlfn.IFNA(LOOKUP(2,1/('Project SqFt'!$A$18:$A$87=S96)/('Project SqFt'!$B$18:$B$87=T96),'Project SqFt'!$C$18:$C$87),LOOKUP(2,1/('Project SqFt'!$H$18:$H$87=S96)/('Project SqFt'!$I$18:$I$87=T96),'Project SqFt'!$K$18:$K$87)),LOOKUP(2,1/('Project SqFt'!$P$18:$P$87=S96)/('Project SqFt'!$Q$18:$Q$87=T96),'Project SqFt'!$R$18:$R$87)))</f>
        <v/>
      </c>
      <c r="AB96" s="194" t="str" cm="1">
        <f t="array" ref="AB96">IF(IFERROR(_xlfn.IFNA(LOOKUP(2,1/('Project SqFt'!$A$18:$A$87=S96)/('Project SqFt'!$B$18:$B$87=T96),'Project SqFt'!$D$18:$D$87),LOOKUP(2,1/('Project SqFt'!$H$18:$H$87=S96)/('Project SqFt'!$I$18:$I$87=T96),'Project SqFt'!$L$18:$L$87)),LOOKUP(2,1/('Project SqFt'!$P$18:$P$87=S96)/('Project SqFt'!$Q$18:$Q$87=T96),'Project SqFt'!$T$18:$T$87))="","",IFERROR(_xlfn.IFNA(LOOKUP(2,1/('Project SqFt'!$A$18:$A$87=S96)/('Project SqFt'!$B$18:$B$87=T96),'Project SqFt'!$D$18:$D$87),LOOKUP(2,1/('Project SqFt'!$H$18:$H$87=S96)/('Project SqFt'!$I$18:$I$87=T96),'Project SqFt'!$L$18:$L$87)),LOOKUP(2,1/('Project SqFt'!$P$18:$P$87=S96)/('Project SqFt'!$Q$18:$Q$87=T96),'Project SqFt'!$T$18:$T$87)))</f>
        <v/>
      </c>
      <c r="AC96" s="296" t="str">
        <f>IFERROR(ROUNDDOWN(Z49*AA96,0),"")</f>
        <v/>
      </c>
    </row>
    <row r="97" spans="1:29" x14ac:dyDescent="0.25">
      <c r="A97" s="50"/>
      <c r="B97" s="29"/>
      <c r="C97" s="194" t="str" cm="1">
        <f t="array" ref="C97">IF(IFERROR(_xlfn.IFNA(LOOKUP(2,1/('Project SqFt'!$A$18:$A$87=A97)/('Project SqFt'!$B$18:$B$87=B97),'Project SqFt'!$F$18:$F$87),LOOKUP(2,1/('Project SqFt'!$H$18:$H$87=A97)/('Project SqFt'!$I$18:$I$87=B97),'Project SqFt'!$M$18:$M$87)),LOOKUP(2,1/('Project SqFt'!$P$18:$P$87=A97)/('Project SqFt'!$Q$18:$Q$87=B97),'Project SqFt'!$U$18:$U$87))=0,"",IFERROR(_xlfn.IFNA(LOOKUP(2,1/('Project SqFt'!$A$18:$A$87=A97)/('Project SqFt'!$B$18:$B$87=B97),'Project SqFt'!$F$18:$F$87),LOOKUP(2,1/('Project SqFt'!$H$18:$H$87=A97)/('Project SqFt'!$I$18:$I$87=B97),'Project SqFt'!$M$18:$M$87)),LOOKUP(2,1/('Project SqFt'!$P$18:$P$87=A97)/('Project SqFt'!$Q$18:$Q$87=B97),'Project SqFt'!$U$18:$U$87)))</f>
        <v/>
      </c>
      <c r="D97" s="934"/>
      <c r="E97" s="934"/>
      <c r="F97" s="934"/>
      <c r="G97" s="934"/>
      <c r="H97" s="934"/>
      <c r="I97" s="194" t="str" cm="1">
        <f t="array" ref="I97">IF(IFERROR(_xlfn.IFNA(LOOKUP(2,1/('Project SqFt'!$A$18:$A$87=A97)/('Project SqFt'!$B$18:$B$87=B97),'Project SqFt'!$C$18:$C$87),LOOKUP(2,1/('Project SqFt'!$H$18:$H$87=A97)/('Project SqFt'!$I$18:$I$87=B97),'Project SqFt'!$K$18:$K$87)),LOOKUP(2,1/('Project SqFt'!$P$18:$P$87=A97)/('Project SqFt'!$Q$18:$Q$87=B97),'Project SqFt'!$R$18:$R$87))="","",IFERROR(_xlfn.IFNA(LOOKUP(2,1/('Project SqFt'!$A$18:$A$87=A97)/('Project SqFt'!$B$18:$B$87=B97),'Project SqFt'!$C$18:$C$87),LOOKUP(2,1/('Project SqFt'!$H$18:$H$87=A97)/('Project SqFt'!$I$18:$I$87=B97),'Project SqFt'!$K$18:$K$87)),LOOKUP(2,1/('Project SqFt'!$P$18:$P$87=A97)/('Project SqFt'!$Q$18:$Q$87=B97),'Project SqFt'!$R$18:$R$87)))</f>
        <v/>
      </c>
      <c r="J97" s="194" t="str" cm="1">
        <f t="array" ref="J97">IF(IFERROR(_xlfn.IFNA(LOOKUP(2,1/('Project SqFt'!$A$18:$A$87=A97)/('Project SqFt'!$B$18:$B$87=B97),'Project SqFt'!$D$18:$D$87),LOOKUP(2,1/('Project SqFt'!$H$18:$H$87=A97)/('Project SqFt'!$I$18:$I$87=B97),'Project SqFt'!$L$18:$L$87)),LOOKUP(2,1/('Project SqFt'!$P$18:$P$87=A97)/('Project SqFt'!$Q$18:$Q$87=B97),'Project SqFt'!$T$18:$T$87))="","",IFERROR(_xlfn.IFNA(LOOKUP(2,1/('Project SqFt'!$A$18:$A$87=A97)/('Project SqFt'!$B$18:$B$87=B97),'Project SqFt'!$D$18:$D$87),LOOKUP(2,1/('Project SqFt'!$H$18:$H$87=A97)/('Project SqFt'!$I$18:$I$87=B97),'Project SqFt'!$L$18:$L$87)),LOOKUP(2,1/('Project SqFt'!$P$18:$P$87=A97)/('Project SqFt'!$Q$18:$Q$87=B97),'Project SqFt'!$T$18:$T$87)))</f>
        <v/>
      </c>
      <c r="K97" s="296" t="str">
        <f>IFERROR(ROUNDDOWN(H49*I97,0),"")</f>
        <v/>
      </c>
      <c r="S97" s="50"/>
      <c r="T97" s="29"/>
      <c r="U97" s="194" t="str" cm="1">
        <f t="array" ref="U97">IF(IFERROR(_xlfn.IFNA(LOOKUP(2,1/('Project SqFt'!$A$18:$A$87=S97)/('Project SqFt'!$B$18:$B$87=T97),'Project SqFt'!$F$18:$F$87),LOOKUP(2,1/('Project SqFt'!$H$18:$H$87=S97)/('Project SqFt'!$I$18:$I$87=T97),'Project SqFt'!$M$18:$M$87)),LOOKUP(2,1/('Project SqFt'!$P$18:$P$87=S97)/('Project SqFt'!$Q$18:$Q$87=T97),'Project SqFt'!$U$18:$U$87))=0,"",IFERROR(_xlfn.IFNA(LOOKUP(2,1/('Project SqFt'!$A$18:$A$87=S97)/('Project SqFt'!$B$18:$B$87=T97),'Project SqFt'!$F$18:$F$87),LOOKUP(2,1/('Project SqFt'!$H$18:$H$87=S97)/('Project SqFt'!$I$18:$I$87=T97),'Project SqFt'!$M$18:$M$87)),LOOKUP(2,1/('Project SqFt'!$P$18:$P$87=S97)/('Project SqFt'!$Q$18:$Q$87=T97),'Project SqFt'!$U$18:$U$87)))</f>
        <v/>
      </c>
      <c r="V97" s="934"/>
      <c r="W97" s="934"/>
      <c r="X97" s="934"/>
      <c r="Y97" s="934"/>
      <c r="Z97" s="934"/>
      <c r="AA97" s="194" t="str" cm="1">
        <f t="array" ref="AA97">IF(IFERROR(_xlfn.IFNA(LOOKUP(2,1/('Project SqFt'!$A$18:$A$87=S97)/('Project SqFt'!$B$18:$B$87=T97),'Project SqFt'!$C$18:$C$87),LOOKUP(2,1/('Project SqFt'!$H$18:$H$87=S97)/('Project SqFt'!$I$18:$I$87=T97),'Project SqFt'!$K$18:$K$87)),LOOKUP(2,1/('Project SqFt'!$P$18:$P$87=S97)/('Project SqFt'!$Q$18:$Q$87=T97),'Project SqFt'!$R$18:$R$87))="","",IFERROR(_xlfn.IFNA(LOOKUP(2,1/('Project SqFt'!$A$18:$A$87=S97)/('Project SqFt'!$B$18:$B$87=T97),'Project SqFt'!$C$18:$C$87),LOOKUP(2,1/('Project SqFt'!$H$18:$H$87=S97)/('Project SqFt'!$I$18:$I$87=T97),'Project SqFt'!$K$18:$K$87)),LOOKUP(2,1/('Project SqFt'!$P$18:$P$87=S97)/('Project SqFt'!$Q$18:$Q$87=T97),'Project SqFt'!$R$18:$R$87)))</f>
        <v/>
      </c>
      <c r="AB97" s="194" t="str" cm="1">
        <f t="array" ref="AB97">IF(IFERROR(_xlfn.IFNA(LOOKUP(2,1/('Project SqFt'!$A$18:$A$87=S97)/('Project SqFt'!$B$18:$B$87=T97),'Project SqFt'!$D$18:$D$87),LOOKUP(2,1/('Project SqFt'!$H$18:$H$87=S97)/('Project SqFt'!$I$18:$I$87=T97),'Project SqFt'!$L$18:$L$87)),LOOKUP(2,1/('Project SqFt'!$P$18:$P$87=S97)/('Project SqFt'!$Q$18:$Q$87=T97),'Project SqFt'!$T$18:$T$87))="","",IFERROR(_xlfn.IFNA(LOOKUP(2,1/('Project SqFt'!$A$18:$A$87=S97)/('Project SqFt'!$B$18:$B$87=T97),'Project SqFt'!$D$18:$D$87),LOOKUP(2,1/('Project SqFt'!$H$18:$H$87=S97)/('Project SqFt'!$I$18:$I$87=T97),'Project SqFt'!$L$18:$L$87)),LOOKUP(2,1/('Project SqFt'!$P$18:$P$87=S97)/('Project SqFt'!$Q$18:$Q$87=T97),'Project SqFt'!$T$18:$T$87)))</f>
        <v/>
      </c>
      <c r="AC97" s="296" t="str">
        <f>IFERROR(ROUNDDOWN(Z49*AA97,0),"")</f>
        <v/>
      </c>
    </row>
    <row r="98" spans="1:29" x14ac:dyDescent="0.25">
      <c r="A98" s="50"/>
      <c r="B98" s="29"/>
      <c r="C98" s="194" t="str" cm="1">
        <f t="array" ref="C98">IF(IFERROR(_xlfn.IFNA(LOOKUP(2,1/('Project SqFt'!$A$18:$A$87=A98)/('Project SqFt'!$B$18:$B$87=B98),'Project SqFt'!$F$18:$F$87),LOOKUP(2,1/('Project SqFt'!$H$18:$H$87=A98)/('Project SqFt'!$I$18:$I$87=B98),'Project SqFt'!$M$18:$M$87)),LOOKUP(2,1/('Project SqFt'!$P$18:$P$87=A98)/('Project SqFt'!$Q$18:$Q$87=B98),'Project SqFt'!$U$18:$U$87))=0,"",IFERROR(_xlfn.IFNA(LOOKUP(2,1/('Project SqFt'!$A$18:$A$87=A98)/('Project SqFt'!$B$18:$B$87=B98),'Project SqFt'!$F$18:$F$87),LOOKUP(2,1/('Project SqFt'!$H$18:$H$87=A98)/('Project SqFt'!$I$18:$I$87=B98),'Project SqFt'!$M$18:$M$87)),LOOKUP(2,1/('Project SqFt'!$P$18:$P$87=A98)/('Project SqFt'!$Q$18:$Q$87=B98),'Project SqFt'!$U$18:$U$87)))</f>
        <v/>
      </c>
      <c r="D98" s="934"/>
      <c r="E98" s="934"/>
      <c r="F98" s="934"/>
      <c r="G98" s="934"/>
      <c r="H98" s="934"/>
      <c r="I98" s="194" t="str" cm="1">
        <f t="array" ref="I98">IF(IFERROR(_xlfn.IFNA(LOOKUP(2,1/('Project SqFt'!$A$18:$A$87=A98)/('Project SqFt'!$B$18:$B$87=B98),'Project SqFt'!$C$18:$C$87),LOOKUP(2,1/('Project SqFt'!$H$18:$H$87=A98)/('Project SqFt'!$I$18:$I$87=B98),'Project SqFt'!$K$18:$K$87)),LOOKUP(2,1/('Project SqFt'!$P$18:$P$87=A98)/('Project SqFt'!$Q$18:$Q$87=B98),'Project SqFt'!$R$18:$R$87))="","",IFERROR(_xlfn.IFNA(LOOKUP(2,1/('Project SqFt'!$A$18:$A$87=A98)/('Project SqFt'!$B$18:$B$87=B98),'Project SqFt'!$C$18:$C$87),LOOKUP(2,1/('Project SqFt'!$H$18:$H$87=A98)/('Project SqFt'!$I$18:$I$87=B98),'Project SqFt'!$K$18:$K$87)),LOOKUP(2,1/('Project SqFt'!$P$18:$P$87=A98)/('Project SqFt'!$Q$18:$Q$87=B98),'Project SqFt'!$R$18:$R$87)))</f>
        <v/>
      </c>
      <c r="J98" s="194" t="str" cm="1">
        <f t="array" ref="J98">IF(IFERROR(_xlfn.IFNA(LOOKUP(2,1/('Project SqFt'!$A$18:$A$87=A98)/('Project SqFt'!$B$18:$B$87=B98),'Project SqFt'!$D$18:$D$87),LOOKUP(2,1/('Project SqFt'!$H$18:$H$87=A98)/('Project SqFt'!$I$18:$I$87=B98),'Project SqFt'!$L$18:$L$87)),LOOKUP(2,1/('Project SqFt'!$P$18:$P$87=A98)/('Project SqFt'!$Q$18:$Q$87=B98),'Project SqFt'!$T$18:$T$87))="","",IFERROR(_xlfn.IFNA(LOOKUP(2,1/('Project SqFt'!$A$18:$A$87=A98)/('Project SqFt'!$B$18:$B$87=B98),'Project SqFt'!$D$18:$D$87),LOOKUP(2,1/('Project SqFt'!$H$18:$H$87=A98)/('Project SqFt'!$I$18:$I$87=B98),'Project SqFt'!$L$18:$L$87)),LOOKUP(2,1/('Project SqFt'!$P$18:$P$87=A98)/('Project SqFt'!$Q$18:$Q$87=B98),'Project SqFt'!$T$18:$T$87)))</f>
        <v/>
      </c>
      <c r="K98" s="296" t="str">
        <f>IFERROR(ROUNDDOWN(H49*I98,0),"")</f>
        <v/>
      </c>
      <c r="S98" s="50"/>
      <c r="T98" s="29"/>
      <c r="U98" s="194" t="str" cm="1">
        <f t="array" ref="U98">IF(IFERROR(_xlfn.IFNA(LOOKUP(2,1/('Project SqFt'!$A$18:$A$87=S98)/('Project SqFt'!$B$18:$B$87=T98),'Project SqFt'!$F$18:$F$87),LOOKUP(2,1/('Project SqFt'!$H$18:$H$87=S98)/('Project SqFt'!$I$18:$I$87=T98),'Project SqFt'!$M$18:$M$87)),LOOKUP(2,1/('Project SqFt'!$P$18:$P$87=S98)/('Project SqFt'!$Q$18:$Q$87=T98),'Project SqFt'!$U$18:$U$87))=0,"",IFERROR(_xlfn.IFNA(LOOKUP(2,1/('Project SqFt'!$A$18:$A$87=S98)/('Project SqFt'!$B$18:$B$87=T98),'Project SqFt'!$F$18:$F$87),LOOKUP(2,1/('Project SqFt'!$H$18:$H$87=S98)/('Project SqFt'!$I$18:$I$87=T98),'Project SqFt'!$M$18:$M$87)),LOOKUP(2,1/('Project SqFt'!$P$18:$P$87=S98)/('Project SqFt'!$Q$18:$Q$87=T98),'Project SqFt'!$U$18:$U$87)))</f>
        <v/>
      </c>
      <c r="V98" s="934"/>
      <c r="W98" s="934"/>
      <c r="X98" s="934"/>
      <c r="Y98" s="934"/>
      <c r="Z98" s="934"/>
      <c r="AA98" s="194" t="str" cm="1">
        <f t="array" ref="AA98">IF(IFERROR(_xlfn.IFNA(LOOKUP(2,1/('Project SqFt'!$A$18:$A$87=S98)/('Project SqFt'!$B$18:$B$87=T98),'Project SqFt'!$C$18:$C$87),LOOKUP(2,1/('Project SqFt'!$H$18:$H$87=S98)/('Project SqFt'!$I$18:$I$87=T98),'Project SqFt'!$K$18:$K$87)),LOOKUP(2,1/('Project SqFt'!$P$18:$P$87=S98)/('Project SqFt'!$Q$18:$Q$87=T98),'Project SqFt'!$R$18:$R$87))="","",IFERROR(_xlfn.IFNA(LOOKUP(2,1/('Project SqFt'!$A$18:$A$87=S98)/('Project SqFt'!$B$18:$B$87=T98),'Project SqFt'!$C$18:$C$87),LOOKUP(2,1/('Project SqFt'!$H$18:$H$87=S98)/('Project SqFt'!$I$18:$I$87=T98),'Project SqFt'!$K$18:$K$87)),LOOKUP(2,1/('Project SqFt'!$P$18:$P$87=S98)/('Project SqFt'!$Q$18:$Q$87=T98),'Project SqFt'!$R$18:$R$87)))</f>
        <v/>
      </c>
      <c r="AB98" s="194" t="str" cm="1">
        <f t="array" ref="AB98">IF(IFERROR(_xlfn.IFNA(LOOKUP(2,1/('Project SqFt'!$A$18:$A$87=S98)/('Project SqFt'!$B$18:$B$87=T98),'Project SqFt'!$D$18:$D$87),LOOKUP(2,1/('Project SqFt'!$H$18:$H$87=S98)/('Project SqFt'!$I$18:$I$87=T98),'Project SqFt'!$L$18:$L$87)),LOOKUP(2,1/('Project SqFt'!$P$18:$P$87=S98)/('Project SqFt'!$Q$18:$Q$87=T98),'Project SqFt'!$T$18:$T$87))="","",IFERROR(_xlfn.IFNA(LOOKUP(2,1/('Project SqFt'!$A$18:$A$87=S98)/('Project SqFt'!$B$18:$B$87=T98),'Project SqFt'!$D$18:$D$87),LOOKUP(2,1/('Project SqFt'!$H$18:$H$87=S98)/('Project SqFt'!$I$18:$I$87=T98),'Project SqFt'!$L$18:$L$87)),LOOKUP(2,1/('Project SqFt'!$P$18:$P$87=S98)/('Project SqFt'!$Q$18:$Q$87=T98),'Project SqFt'!$T$18:$T$87)))</f>
        <v/>
      </c>
      <c r="AC98" s="296" t="str">
        <f>IFERROR(ROUNDDOWN(Z49*AA98,0),"")</f>
        <v/>
      </c>
    </row>
    <row r="99" spans="1:29" x14ac:dyDescent="0.25">
      <c r="A99" s="50"/>
      <c r="B99" s="29"/>
      <c r="C99" s="194" t="str" cm="1">
        <f t="array" ref="C99">IF(IFERROR(_xlfn.IFNA(LOOKUP(2,1/('Project SqFt'!$A$18:$A$87=A99)/('Project SqFt'!$B$18:$B$87=B99),'Project SqFt'!$F$18:$F$87),LOOKUP(2,1/('Project SqFt'!$H$18:$H$87=A99)/('Project SqFt'!$I$18:$I$87=B99),'Project SqFt'!$M$18:$M$87)),LOOKUP(2,1/('Project SqFt'!$P$18:$P$87=A99)/('Project SqFt'!$Q$18:$Q$87=B99),'Project SqFt'!$U$18:$U$87))=0,"",IFERROR(_xlfn.IFNA(LOOKUP(2,1/('Project SqFt'!$A$18:$A$87=A99)/('Project SqFt'!$B$18:$B$87=B99),'Project SqFt'!$F$18:$F$87),LOOKUP(2,1/('Project SqFt'!$H$18:$H$87=A99)/('Project SqFt'!$I$18:$I$87=B99),'Project SqFt'!$M$18:$M$87)),LOOKUP(2,1/('Project SqFt'!$P$18:$P$87=A99)/('Project SqFt'!$Q$18:$Q$87=B99),'Project SqFt'!$U$18:$U$87)))</f>
        <v/>
      </c>
      <c r="D99" s="934"/>
      <c r="E99" s="934"/>
      <c r="F99" s="934"/>
      <c r="G99" s="934"/>
      <c r="H99" s="934"/>
      <c r="I99" s="194" t="str" cm="1">
        <f t="array" ref="I99">IF(IFERROR(_xlfn.IFNA(LOOKUP(2,1/('Project SqFt'!$A$18:$A$87=A99)/('Project SqFt'!$B$18:$B$87=B99),'Project SqFt'!$C$18:$C$87),LOOKUP(2,1/('Project SqFt'!$H$18:$H$87=A99)/('Project SqFt'!$I$18:$I$87=B99),'Project SqFt'!$K$18:$K$87)),LOOKUP(2,1/('Project SqFt'!$P$18:$P$87=A99)/('Project SqFt'!$Q$18:$Q$87=B99),'Project SqFt'!$R$18:$R$87))="","",IFERROR(_xlfn.IFNA(LOOKUP(2,1/('Project SqFt'!$A$18:$A$87=A99)/('Project SqFt'!$B$18:$B$87=B99),'Project SqFt'!$C$18:$C$87),LOOKUP(2,1/('Project SqFt'!$H$18:$H$87=A99)/('Project SqFt'!$I$18:$I$87=B99),'Project SqFt'!$K$18:$K$87)),LOOKUP(2,1/('Project SqFt'!$P$18:$P$87=A99)/('Project SqFt'!$Q$18:$Q$87=B99),'Project SqFt'!$R$18:$R$87)))</f>
        <v/>
      </c>
      <c r="J99" s="194" t="str" cm="1">
        <f t="array" ref="J99">IF(IFERROR(_xlfn.IFNA(LOOKUP(2,1/('Project SqFt'!$A$18:$A$87=A99)/('Project SqFt'!$B$18:$B$87=B99),'Project SqFt'!$D$18:$D$87),LOOKUP(2,1/('Project SqFt'!$H$18:$H$87=A99)/('Project SqFt'!$I$18:$I$87=B99),'Project SqFt'!$L$18:$L$87)),LOOKUP(2,1/('Project SqFt'!$P$18:$P$87=A99)/('Project SqFt'!$Q$18:$Q$87=B99),'Project SqFt'!$T$18:$T$87))="","",IFERROR(_xlfn.IFNA(LOOKUP(2,1/('Project SqFt'!$A$18:$A$87=A99)/('Project SqFt'!$B$18:$B$87=B99),'Project SqFt'!$D$18:$D$87),LOOKUP(2,1/('Project SqFt'!$H$18:$H$87=A99)/('Project SqFt'!$I$18:$I$87=B99),'Project SqFt'!$L$18:$L$87)),LOOKUP(2,1/('Project SqFt'!$P$18:$P$87=A99)/('Project SqFt'!$Q$18:$Q$87=B99),'Project SqFt'!$T$18:$T$87)))</f>
        <v/>
      </c>
      <c r="K99" s="296" t="str">
        <f>IFERROR(ROUNDDOWN(H49*I99,0),"")</f>
        <v/>
      </c>
      <c r="S99" s="50"/>
      <c r="T99" s="29"/>
      <c r="U99" s="194" t="str" cm="1">
        <f t="array" ref="U99">IF(IFERROR(_xlfn.IFNA(LOOKUP(2,1/('Project SqFt'!$A$18:$A$87=S99)/('Project SqFt'!$B$18:$B$87=T99),'Project SqFt'!$F$18:$F$87),LOOKUP(2,1/('Project SqFt'!$H$18:$H$87=S99)/('Project SqFt'!$I$18:$I$87=T99),'Project SqFt'!$M$18:$M$87)),LOOKUP(2,1/('Project SqFt'!$P$18:$P$87=S99)/('Project SqFt'!$Q$18:$Q$87=T99),'Project SqFt'!$U$18:$U$87))=0,"",IFERROR(_xlfn.IFNA(LOOKUP(2,1/('Project SqFt'!$A$18:$A$87=S99)/('Project SqFt'!$B$18:$B$87=T99),'Project SqFt'!$F$18:$F$87),LOOKUP(2,1/('Project SqFt'!$H$18:$H$87=S99)/('Project SqFt'!$I$18:$I$87=T99),'Project SqFt'!$M$18:$M$87)),LOOKUP(2,1/('Project SqFt'!$P$18:$P$87=S99)/('Project SqFt'!$Q$18:$Q$87=T99),'Project SqFt'!$U$18:$U$87)))</f>
        <v/>
      </c>
      <c r="V99" s="934"/>
      <c r="W99" s="934"/>
      <c r="X99" s="934"/>
      <c r="Y99" s="934"/>
      <c r="Z99" s="934"/>
      <c r="AA99" s="194" t="str" cm="1">
        <f t="array" ref="AA99">IF(IFERROR(_xlfn.IFNA(LOOKUP(2,1/('Project SqFt'!$A$18:$A$87=S99)/('Project SqFt'!$B$18:$B$87=T99),'Project SqFt'!$C$18:$C$87),LOOKUP(2,1/('Project SqFt'!$H$18:$H$87=S99)/('Project SqFt'!$I$18:$I$87=T99),'Project SqFt'!$K$18:$K$87)),LOOKUP(2,1/('Project SqFt'!$P$18:$P$87=S99)/('Project SqFt'!$Q$18:$Q$87=T99),'Project SqFt'!$R$18:$R$87))="","",IFERROR(_xlfn.IFNA(LOOKUP(2,1/('Project SqFt'!$A$18:$A$87=S99)/('Project SqFt'!$B$18:$B$87=T99),'Project SqFt'!$C$18:$C$87),LOOKUP(2,1/('Project SqFt'!$H$18:$H$87=S99)/('Project SqFt'!$I$18:$I$87=T99),'Project SqFt'!$K$18:$K$87)),LOOKUP(2,1/('Project SqFt'!$P$18:$P$87=S99)/('Project SqFt'!$Q$18:$Q$87=T99),'Project SqFt'!$R$18:$R$87)))</f>
        <v/>
      </c>
      <c r="AB99" s="194" t="str" cm="1">
        <f t="array" ref="AB99">IF(IFERROR(_xlfn.IFNA(LOOKUP(2,1/('Project SqFt'!$A$18:$A$87=S99)/('Project SqFt'!$B$18:$B$87=T99),'Project SqFt'!$D$18:$D$87),LOOKUP(2,1/('Project SqFt'!$H$18:$H$87=S99)/('Project SqFt'!$I$18:$I$87=T99),'Project SqFt'!$L$18:$L$87)),LOOKUP(2,1/('Project SqFt'!$P$18:$P$87=S99)/('Project SqFt'!$Q$18:$Q$87=T99),'Project SqFt'!$T$18:$T$87))="","",IFERROR(_xlfn.IFNA(LOOKUP(2,1/('Project SqFt'!$A$18:$A$87=S99)/('Project SqFt'!$B$18:$B$87=T99),'Project SqFt'!$D$18:$D$87),LOOKUP(2,1/('Project SqFt'!$H$18:$H$87=S99)/('Project SqFt'!$I$18:$I$87=T99),'Project SqFt'!$L$18:$L$87)),LOOKUP(2,1/('Project SqFt'!$P$18:$P$87=S99)/('Project SqFt'!$Q$18:$Q$87=T99),'Project SqFt'!$T$18:$T$87)))</f>
        <v/>
      </c>
      <c r="AC99" s="296" t="str">
        <f>IFERROR(ROUNDDOWN(Z49*AA99,0),"")</f>
        <v/>
      </c>
    </row>
    <row r="100" spans="1:29" x14ac:dyDescent="0.25">
      <c r="A100" s="50"/>
      <c r="B100" s="29"/>
      <c r="C100" s="194" t="str" cm="1">
        <f t="array" ref="C100">IF(IFERROR(_xlfn.IFNA(LOOKUP(2,1/('Project SqFt'!$A$18:$A$87=A100)/('Project SqFt'!$B$18:$B$87=B100),'Project SqFt'!$F$18:$F$87),LOOKUP(2,1/('Project SqFt'!$H$18:$H$87=A100)/('Project SqFt'!$I$18:$I$87=B100),'Project SqFt'!$M$18:$M$87)),LOOKUP(2,1/('Project SqFt'!$P$18:$P$87=A100)/('Project SqFt'!$Q$18:$Q$87=B100),'Project SqFt'!$U$18:$U$87))=0,"",IFERROR(_xlfn.IFNA(LOOKUP(2,1/('Project SqFt'!$A$18:$A$87=A100)/('Project SqFt'!$B$18:$B$87=B100),'Project SqFt'!$F$18:$F$87),LOOKUP(2,1/('Project SqFt'!$H$18:$H$87=A100)/('Project SqFt'!$I$18:$I$87=B100),'Project SqFt'!$M$18:$M$87)),LOOKUP(2,1/('Project SqFt'!$P$18:$P$87=A100)/('Project SqFt'!$Q$18:$Q$87=B100),'Project SqFt'!$U$18:$U$87)))</f>
        <v/>
      </c>
      <c r="D100" s="934"/>
      <c r="E100" s="934"/>
      <c r="F100" s="934"/>
      <c r="G100" s="934"/>
      <c r="H100" s="934"/>
      <c r="I100" s="194" t="str" cm="1">
        <f t="array" ref="I100">IF(IFERROR(_xlfn.IFNA(LOOKUP(2,1/('Project SqFt'!$A$18:$A$87=A100)/('Project SqFt'!$B$18:$B$87=B100),'Project SqFt'!$C$18:$C$87),LOOKUP(2,1/('Project SqFt'!$H$18:$H$87=A100)/('Project SqFt'!$I$18:$I$87=B100),'Project SqFt'!$K$18:$K$87)),LOOKUP(2,1/('Project SqFt'!$P$18:$P$87=A100)/('Project SqFt'!$Q$18:$Q$87=B100),'Project SqFt'!$R$18:$R$87))="","",IFERROR(_xlfn.IFNA(LOOKUP(2,1/('Project SqFt'!$A$18:$A$87=A100)/('Project SqFt'!$B$18:$B$87=B100),'Project SqFt'!$C$18:$C$87),LOOKUP(2,1/('Project SqFt'!$H$18:$H$87=A100)/('Project SqFt'!$I$18:$I$87=B100),'Project SqFt'!$K$18:$K$87)),LOOKUP(2,1/('Project SqFt'!$P$18:$P$87=A100)/('Project SqFt'!$Q$18:$Q$87=B100),'Project SqFt'!$R$18:$R$87)))</f>
        <v/>
      </c>
      <c r="J100" s="194" t="str" cm="1">
        <f t="array" ref="J100">IF(IFERROR(_xlfn.IFNA(LOOKUP(2,1/('Project SqFt'!$A$18:$A$87=A100)/('Project SqFt'!$B$18:$B$87=B100),'Project SqFt'!$D$18:$D$87),LOOKUP(2,1/('Project SqFt'!$H$18:$H$87=A100)/('Project SqFt'!$I$18:$I$87=B100),'Project SqFt'!$L$18:$L$87)),LOOKUP(2,1/('Project SqFt'!$P$18:$P$87=A100)/('Project SqFt'!$Q$18:$Q$87=B100),'Project SqFt'!$T$18:$T$87))="","",IFERROR(_xlfn.IFNA(LOOKUP(2,1/('Project SqFt'!$A$18:$A$87=A100)/('Project SqFt'!$B$18:$B$87=B100),'Project SqFt'!$D$18:$D$87),LOOKUP(2,1/('Project SqFt'!$H$18:$H$87=A100)/('Project SqFt'!$I$18:$I$87=B100),'Project SqFt'!$L$18:$L$87)),LOOKUP(2,1/('Project SqFt'!$P$18:$P$87=A100)/('Project SqFt'!$Q$18:$Q$87=B100),'Project SqFt'!$T$18:$T$87)))</f>
        <v/>
      </c>
      <c r="K100" s="296" t="str">
        <f>IFERROR(ROUNDDOWN(H49*I100,0),"")</f>
        <v/>
      </c>
      <c r="S100" s="50"/>
      <c r="T100" s="29"/>
      <c r="U100" s="194" t="str" cm="1">
        <f t="array" ref="U100">IF(IFERROR(_xlfn.IFNA(LOOKUP(2,1/('Project SqFt'!$A$18:$A$87=S100)/('Project SqFt'!$B$18:$B$87=T100),'Project SqFt'!$F$18:$F$87),LOOKUP(2,1/('Project SqFt'!$H$18:$H$87=S100)/('Project SqFt'!$I$18:$I$87=T100),'Project SqFt'!$M$18:$M$87)),LOOKUP(2,1/('Project SqFt'!$P$18:$P$87=S100)/('Project SqFt'!$Q$18:$Q$87=T100),'Project SqFt'!$U$18:$U$87))=0,"",IFERROR(_xlfn.IFNA(LOOKUP(2,1/('Project SqFt'!$A$18:$A$87=S100)/('Project SqFt'!$B$18:$B$87=T100),'Project SqFt'!$F$18:$F$87),LOOKUP(2,1/('Project SqFt'!$H$18:$H$87=S100)/('Project SqFt'!$I$18:$I$87=T100),'Project SqFt'!$M$18:$M$87)),LOOKUP(2,1/('Project SqFt'!$P$18:$P$87=S100)/('Project SqFt'!$Q$18:$Q$87=T100),'Project SqFt'!$U$18:$U$87)))</f>
        <v/>
      </c>
      <c r="V100" s="934"/>
      <c r="W100" s="934"/>
      <c r="X100" s="934"/>
      <c r="Y100" s="934"/>
      <c r="Z100" s="934"/>
      <c r="AA100" s="194" t="str" cm="1">
        <f t="array" ref="AA100">IF(IFERROR(_xlfn.IFNA(LOOKUP(2,1/('Project SqFt'!$A$18:$A$87=S100)/('Project SqFt'!$B$18:$B$87=T100),'Project SqFt'!$C$18:$C$87),LOOKUP(2,1/('Project SqFt'!$H$18:$H$87=S100)/('Project SqFt'!$I$18:$I$87=T100),'Project SqFt'!$K$18:$K$87)),LOOKUP(2,1/('Project SqFt'!$P$18:$P$87=S100)/('Project SqFt'!$Q$18:$Q$87=T100),'Project SqFt'!$R$18:$R$87))="","",IFERROR(_xlfn.IFNA(LOOKUP(2,1/('Project SqFt'!$A$18:$A$87=S100)/('Project SqFt'!$B$18:$B$87=T100),'Project SqFt'!$C$18:$C$87),LOOKUP(2,1/('Project SqFt'!$H$18:$H$87=S100)/('Project SqFt'!$I$18:$I$87=T100),'Project SqFt'!$K$18:$K$87)),LOOKUP(2,1/('Project SqFt'!$P$18:$P$87=S100)/('Project SqFt'!$Q$18:$Q$87=T100),'Project SqFt'!$R$18:$R$87)))</f>
        <v/>
      </c>
      <c r="AB100" s="194" t="str" cm="1">
        <f t="array" ref="AB100">IF(IFERROR(_xlfn.IFNA(LOOKUP(2,1/('Project SqFt'!$A$18:$A$87=S100)/('Project SqFt'!$B$18:$B$87=T100),'Project SqFt'!$D$18:$D$87),LOOKUP(2,1/('Project SqFt'!$H$18:$H$87=S100)/('Project SqFt'!$I$18:$I$87=T100),'Project SqFt'!$L$18:$L$87)),LOOKUP(2,1/('Project SqFt'!$P$18:$P$87=S100)/('Project SqFt'!$Q$18:$Q$87=T100),'Project SqFt'!$T$18:$T$87))="","",IFERROR(_xlfn.IFNA(LOOKUP(2,1/('Project SqFt'!$A$18:$A$87=S100)/('Project SqFt'!$B$18:$B$87=T100),'Project SqFt'!$D$18:$D$87),LOOKUP(2,1/('Project SqFt'!$H$18:$H$87=S100)/('Project SqFt'!$I$18:$I$87=T100),'Project SqFt'!$L$18:$L$87)),LOOKUP(2,1/('Project SqFt'!$P$18:$P$87=S100)/('Project SqFt'!$Q$18:$Q$87=T100),'Project SqFt'!$T$18:$T$87)))</f>
        <v/>
      </c>
      <c r="AC100" s="296" t="str">
        <f>IFERROR(ROUNDDOWN(Z49*AA100,0),"")</f>
        <v/>
      </c>
    </row>
    <row r="101" spans="1:29" x14ac:dyDescent="0.25">
      <c r="A101" s="50"/>
      <c r="B101" s="29"/>
      <c r="C101" s="194" t="str" cm="1">
        <f t="array" ref="C101">IF(IFERROR(_xlfn.IFNA(LOOKUP(2,1/('Project SqFt'!$A$18:$A$87=A101)/('Project SqFt'!$B$18:$B$87=B101),'Project SqFt'!$F$18:$F$87),LOOKUP(2,1/('Project SqFt'!$H$18:$H$87=A101)/('Project SqFt'!$I$18:$I$87=B101),'Project SqFt'!$M$18:$M$87)),LOOKUP(2,1/('Project SqFt'!$P$18:$P$87=A101)/('Project SqFt'!$Q$18:$Q$87=B101),'Project SqFt'!$U$18:$U$87))=0,"",IFERROR(_xlfn.IFNA(LOOKUP(2,1/('Project SqFt'!$A$18:$A$87=A101)/('Project SqFt'!$B$18:$B$87=B101),'Project SqFt'!$F$18:$F$87),LOOKUP(2,1/('Project SqFt'!$H$18:$H$87=A101)/('Project SqFt'!$I$18:$I$87=B101),'Project SqFt'!$M$18:$M$87)),LOOKUP(2,1/('Project SqFt'!$P$18:$P$87=A101)/('Project SqFt'!$Q$18:$Q$87=B101),'Project SqFt'!$U$18:$U$87)))</f>
        <v/>
      </c>
      <c r="D101" s="934"/>
      <c r="E101" s="934"/>
      <c r="F101" s="934"/>
      <c r="G101" s="934"/>
      <c r="H101" s="934"/>
      <c r="I101" s="194" t="str" cm="1">
        <f t="array" ref="I101">IF(IFERROR(_xlfn.IFNA(LOOKUP(2,1/('Project SqFt'!$A$18:$A$87=A101)/('Project SqFt'!$B$18:$B$87=B101),'Project SqFt'!$C$18:$C$87),LOOKUP(2,1/('Project SqFt'!$H$18:$H$87=A101)/('Project SqFt'!$I$18:$I$87=B101),'Project SqFt'!$K$18:$K$87)),LOOKUP(2,1/('Project SqFt'!$P$18:$P$87=A101)/('Project SqFt'!$Q$18:$Q$87=B101),'Project SqFt'!$R$18:$R$87))="","",IFERROR(_xlfn.IFNA(LOOKUP(2,1/('Project SqFt'!$A$18:$A$87=A101)/('Project SqFt'!$B$18:$B$87=B101),'Project SqFt'!$C$18:$C$87),LOOKUP(2,1/('Project SqFt'!$H$18:$H$87=A101)/('Project SqFt'!$I$18:$I$87=B101),'Project SqFt'!$K$18:$K$87)),LOOKUP(2,1/('Project SqFt'!$P$18:$P$87=A101)/('Project SqFt'!$Q$18:$Q$87=B101),'Project SqFt'!$R$18:$R$87)))</f>
        <v/>
      </c>
      <c r="J101" s="194" t="str" cm="1">
        <f t="array" ref="J101">IF(IFERROR(_xlfn.IFNA(LOOKUP(2,1/('Project SqFt'!$A$18:$A$87=A101)/('Project SqFt'!$B$18:$B$87=B101),'Project SqFt'!$D$18:$D$87),LOOKUP(2,1/('Project SqFt'!$H$18:$H$87=A101)/('Project SqFt'!$I$18:$I$87=B101),'Project SqFt'!$L$18:$L$87)),LOOKUP(2,1/('Project SqFt'!$P$18:$P$87=A101)/('Project SqFt'!$Q$18:$Q$87=B101),'Project SqFt'!$T$18:$T$87))="","",IFERROR(_xlfn.IFNA(LOOKUP(2,1/('Project SqFt'!$A$18:$A$87=A101)/('Project SqFt'!$B$18:$B$87=B101),'Project SqFt'!$D$18:$D$87),LOOKUP(2,1/('Project SqFt'!$H$18:$H$87=A101)/('Project SqFt'!$I$18:$I$87=B101),'Project SqFt'!$L$18:$L$87)),LOOKUP(2,1/('Project SqFt'!$P$18:$P$87=A101)/('Project SqFt'!$Q$18:$Q$87=B101),'Project SqFt'!$T$18:$T$87)))</f>
        <v/>
      </c>
      <c r="K101" s="296" t="str">
        <f>IFERROR(ROUNDDOWN(H49*I101,0),"")</f>
        <v/>
      </c>
      <c r="S101" s="50"/>
      <c r="T101" s="29"/>
      <c r="U101" s="194" t="str" cm="1">
        <f t="array" ref="U101">IF(IFERROR(_xlfn.IFNA(LOOKUP(2,1/('Project SqFt'!$A$18:$A$87=S101)/('Project SqFt'!$B$18:$B$87=T101),'Project SqFt'!$F$18:$F$87),LOOKUP(2,1/('Project SqFt'!$H$18:$H$87=S101)/('Project SqFt'!$I$18:$I$87=T101),'Project SqFt'!$M$18:$M$87)),LOOKUP(2,1/('Project SqFt'!$P$18:$P$87=S101)/('Project SqFt'!$Q$18:$Q$87=T101),'Project SqFt'!$U$18:$U$87))=0,"",IFERROR(_xlfn.IFNA(LOOKUP(2,1/('Project SqFt'!$A$18:$A$87=S101)/('Project SqFt'!$B$18:$B$87=T101),'Project SqFt'!$F$18:$F$87),LOOKUP(2,1/('Project SqFt'!$H$18:$H$87=S101)/('Project SqFt'!$I$18:$I$87=T101),'Project SqFt'!$M$18:$M$87)),LOOKUP(2,1/('Project SqFt'!$P$18:$P$87=S101)/('Project SqFt'!$Q$18:$Q$87=T101),'Project SqFt'!$U$18:$U$87)))</f>
        <v/>
      </c>
      <c r="V101" s="934"/>
      <c r="W101" s="934"/>
      <c r="X101" s="934"/>
      <c r="Y101" s="934"/>
      <c r="Z101" s="934"/>
      <c r="AA101" s="194" t="str" cm="1">
        <f t="array" ref="AA101">IF(IFERROR(_xlfn.IFNA(LOOKUP(2,1/('Project SqFt'!$A$18:$A$87=S101)/('Project SqFt'!$B$18:$B$87=T101),'Project SqFt'!$C$18:$C$87),LOOKUP(2,1/('Project SqFt'!$H$18:$H$87=S101)/('Project SqFt'!$I$18:$I$87=T101),'Project SqFt'!$K$18:$K$87)),LOOKUP(2,1/('Project SqFt'!$P$18:$P$87=S101)/('Project SqFt'!$Q$18:$Q$87=T101),'Project SqFt'!$R$18:$R$87))="","",IFERROR(_xlfn.IFNA(LOOKUP(2,1/('Project SqFt'!$A$18:$A$87=S101)/('Project SqFt'!$B$18:$B$87=T101),'Project SqFt'!$C$18:$C$87),LOOKUP(2,1/('Project SqFt'!$H$18:$H$87=S101)/('Project SqFt'!$I$18:$I$87=T101),'Project SqFt'!$K$18:$K$87)),LOOKUP(2,1/('Project SqFt'!$P$18:$P$87=S101)/('Project SqFt'!$Q$18:$Q$87=T101),'Project SqFt'!$R$18:$R$87)))</f>
        <v/>
      </c>
      <c r="AB101" s="194" t="str" cm="1">
        <f t="array" ref="AB101">IF(IFERROR(_xlfn.IFNA(LOOKUP(2,1/('Project SqFt'!$A$18:$A$87=S101)/('Project SqFt'!$B$18:$B$87=T101),'Project SqFt'!$D$18:$D$87),LOOKUP(2,1/('Project SqFt'!$H$18:$H$87=S101)/('Project SqFt'!$I$18:$I$87=T101),'Project SqFt'!$L$18:$L$87)),LOOKUP(2,1/('Project SqFt'!$P$18:$P$87=S101)/('Project SqFt'!$Q$18:$Q$87=T101),'Project SqFt'!$T$18:$T$87))="","",IFERROR(_xlfn.IFNA(LOOKUP(2,1/('Project SqFt'!$A$18:$A$87=S101)/('Project SqFt'!$B$18:$B$87=T101),'Project SqFt'!$D$18:$D$87),LOOKUP(2,1/('Project SqFt'!$H$18:$H$87=S101)/('Project SqFt'!$I$18:$I$87=T101),'Project SqFt'!$L$18:$L$87)),LOOKUP(2,1/('Project SqFt'!$P$18:$P$87=S101)/('Project SqFt'!$Q$18:$Q$87=T101),'Project SqFt'!$T$18:$T$87)))</f>
        <v/>
      </c>
      <c r="AC101" s="296" t="str">
        <f>IFERROR(ROUNDDOWN(Z49*AA101,0),"")</f>
        <v/>
      </c>
    </row>
    <row r="102" spans="1:29" x14ac:dyDescent="0.25">
      <c r="A102" s="50"/>
      <c r="B102" s="29"/>
      <c r="C102" s="194" t="str" cm="1">
        <f t="array" ref="C102">IF(IFERROR(_xlfn.IFNA(LOOKUP(2,1/('Project SqFt'!$A$18:$A$87=A102)/('Project SqFt'!$B$18:$B$87=B102),'Project SqFt'!$F$18:$F$87),LOOKUP(2,1/('Project SqFt'!$H$18:$H$87=A102)/('Project SqFt'!$I$18:$I$87=B102),'Project SqFt'!$M$18:$M$87)),LOOKUP(2,1/('Project SqFt'!$P$18:$P$87=A102)/('Project SqFt'!$Q$18:$Q$87=B102),'Project SqFt'!$U$18:$U$87))=0,"",IFERROR(_xlfn.IFNA(LOOKUP(2,1/('Project SqFt'!$A$18:$A$87=A102)/('Project SqFt'!$B$18:$B$87=B102),'Project SqFt'!$F$18:$F$87),LOOKUP(2,1/('Project SqFt'!$H$18:$H$87=A102)/('Project SqFt'!$I$18:$I$87=B102),'Project SqFt'!$M$18:$M$87)),LOOKUP(2,1/('Project SqFt'!$P$18:$P$87=A102)/('Project SqFt'!$Q$18:$Q$87=B102),'Project SqFt'!$U$18:$U$87)))</f>
        <v/>
      </c>
      <c r="D102" s="934"/>
      <c r="E102" s="934"/>
      <c r="F102" s="934"/>
      <c r="G102" s="934"/>
      <c r="H102" s="934"/>
      <c r="I102" s="194" t="str" cm="1">
        <f t="array" ref="I102">IF(IFERROR(_xlfn.IFNA(LOOKUP(2,1/('Project SqFt'!$A$18:$A$87=A102)/('Project SqFt'!$B$18:$B$87=B102),'Project SqFt'!$C$18:$C$87),LOOKUP(2,1/('Project SqFt'!$H$18:$H$87=A102)/('Project SqFt'!$I$18:$I$87=B102),'Project SqFt'!$K$18:$K$87)),LOOKUP(2,1/('Project SqFt'!$P$18:$P$87=A102)/('Project SqFt'!$Q$18:$Q$87=B102),'Project SqFt'!$R$18:$R$87))="","",IFERROR(_xlfn.IFNA(LOOKUP(2,1/('Project SqFt'!$A$18:$A$87=A102)/('Project SqFt'!$B$18:$B$87=B102),'Project SqFt'!$C$18:$C$87),LOOKUP(2,1/('Project SqFt'!$H$18:$H$87=A102)/('Project SqFt'!$I$18:$I$87=B102),'Project SqFt'!$K$18:$K$87)),LOOKUP(2,1/('Project SqFt'!$P$18:$P$87=A102)/('Project SqFt'!$Q$18:$Q$87=B102),'Project SqFt'!$R$18:$R$87)))</f>
        <v/>
      </c>
      <c r="J102" s="194" t="str" cm="1">
        <f t="array" ref="J102">IF(IFERROR(_xlfn.IFNA(LOOKUP(2,1/('Project SqFt'!$A$18:$A$87=A102)/('Project SqFt'!$B$18:$B$87=B102),'Project SqFt'!$D$18:$D$87),LOOKUP(2,1/('Project SqFt'!$H$18:$H$87=A102)/('Project SqFt'!$I$18:$I$87=B102),'Project SqFt'!$L$18:$L$87)),LOOKUP(2,1/('Project SqFt'!$P$18:$P$87=A102)/('Project SqFt'!$Q$18:$Q$87=B102),'Project SqFt'!$T$18:$T$87))="","",IFERROR(_xlfn.IFNA(LOOKUP(2,1/('Project SqFt'!$A$18:$A$87=A102)/('Project SqFt'!$B$18:$B$87=B102),'Project SqFt'!$D$18:$D$87),LOOKUP(2,1/('Project SqFt'!$H$18:$H$87=A102)/('Project SqFt'!$I$18:$I$87=B102),'Project SqFt'!$L$18:$L$87)),LOOKUP(2,1/('Project SqFt'!$P$18:$P$87=A102)/('Project SqFt'!$Q$18:$Q$87=B102),'Project SqFt'!$T$18:$T$87)))</f>
        <v/>
      </c>
      <c r="K102" s="296" t="str">
        <f>IFERROR(ROUNDDOWN(H49*I102,0),"")</f>
        <v/>
      </c>
      <c r="S102" s="50"/>
      <c r="T102" s="29"/>
      <c r="U102" s="194" t="str" cm="1">
        <f t="array" ref="U102">IF(IFERROR(_xlfn.IFNA(LOOKUP(2,1/('Project SqFt'!$A$18:$A$87=S102)/('Project SqFt'!$B$18:$B$87=T102),'Project SqFt'!$F$18:$F$87),LOOKUP(2,1/('Project SqFt'!$H$18:$H$87=S102)/('Project SqFt'!$I$18:$I$87=T102),'Project SqFt'!$M$18:$M$87)),LOOKUP(2,1/('Project SqFt'!$P$18:$P$87=S102)/('Project SqFt'!$Q$18:$Q$87=T102),'Project SqFt'!$U$18:$U$87))=0,"",IFERROR(_xlfn.IFNA(LOOKUP(2,1/('Project SqFt'!$A$18:$A$87=S102)/('Project SqFt'!$B$18:$B$87=T102),'Project SqFt'!$F$18:$F$87),LOOKUP(2,1/('Project SqFt'!$H$18:$H$87=S102)/('Project SqFt'!$I$18:$I$87=T102),'Project SqFt'!$M$18:$M$87)),LOOKUP(2,1/('Project SqFt'!$P$18:$P$87=S102)/('Project SqFt'!$Q$18:$Q$87=T102),'Project SqFt'!$U$18:$U$87)))</f>
        <v/>
      </c>
      <c r="V102" s="934"/>
      <c r="W102" s="934"/>
      <c r="X102" s="934"/>
      <c r="Y102" s="934"/>
      <c r="Z102" s="934"/>
      <c r="AA102" s="194" t="str" cm="1">
        <f t="array" ref="AA102">IF(IFERROR(_xlfn.IFNA(LOOKUP(2,1/('Project SqFt'!$A$18:$A$87=S102)/('Project SqFt'!$B$18:$B$87=T102),'Project SqFt'!$C$18:$C$87),LOOKUP(2,1/('Project SqFt'!$H$18:$H$87=S102)/('Project SqFt'!$I$18:$I$87=T102),'Project SqFt'!$K$18:$K$87)),LOOKUP(2,1/('Project SqFt'!$P$18:$P$87=S102)/('Project SqFt'!$Q$18:$Q$87=T102),'Project SqFt'!$R$18:$R$87))="","",IFERROR(_xlfn.IFNA(LOOKUP(2,1/('Project SqFt'!$A$18:$A$87=S102)/('Project SqFt'!$B$18:$B$87=T102),'Project SqFt'!$C$18:$C$87),LOOKUP(2,1/('Project SqFt'!$H$18:$H$87=S102)/('Project SqFt'!$I$18:$I$87=T102),'Project SqFt'!$K$18:$K$87)),LOOKUP(2,1/('Project SqFt'!$P$18:$P$87=S102)/('Project SqFt'!$Q$18:$Q$87=T102),'Project SqFt'!$R$18:$R$87)))</f>
        <v/>
      </c>
      <c r="AB102" s="194" t="str" cm="1">
        <f t="array" ref="AB102">IF(IFERROR(_xlfn.IFNA(LOOKUP(2,1/('Project SqFt'!$A$18:$A$87=S102)/('Project SqFt'!$B$18:$B$87=T102),'Project SqFt'!$D$18:$D$87),LOOKUP(2,1/('Project SqFt'!$H$18:$H$87=S102)/('Project SqFt'!$I$18:$I$87=T102),'Project SqFt'!$L$18:$L$87)),LOOKUP(2,1/('Project SqFt'!$P$18:$P$87=S102)/('Project SqFt'!$Q$18:$Q$87=T102),'Project SqFt'!$T$18:$T$87))="","",IFERROR(_xlfn.IFNA(LOOKUP(2,1/('Project SqFt'!$A$18:$A$87=S102)/('Project SqFt'!$B$18:$B$87=T102),'Project SqFt'!$D$18:$D$87),LOOKUP(2,1/('Project SqFt'!$H$18:$H$87=S102)/('Project SqFt'!$I$18:$I$87=T102),'Project SqFt'!$L$18:$L$87)),LOOKUP(2,1/('Project SqFt'!$P$18:$P$87=S102)/('Project SqFt'!$Q$18:$Q$87=T102),'Project SqFt'!$T$18:$T$87)))</f>
        <v/>
      </c>
      <c r="AC102" s="296" t="str">
        <f>IFERROR(ROUNDDOWN(Z49*AA102,0),"")</f>
        <v/>
      </c>
    </row>
    <row r="103" spans="1:29" x14ac:dyDescent="0.25">
      <c r="A103" s="50"/>
      <c r="B103" s="29"/>
      <c r="C103" s="194" t="str" cm="1">
        <f t="array" ref="C103">IF(IFERROR(_xlfn.IFNA(LOOKUP(2,1/('Project SqFt'!$A$18:$A$87=A103)/('Project SqFt'!$B$18:$B$87=B103),'Project SqFt'!$F$18:$F$87),LOOKUP(2,1/('Project SqFt'!$H$18:$H$87=A103)/('Project SqFt'!$I$18:$I$87=B103),'Project SqFt'!$M$18:$M$87)),LOOKUP(2,1/('Project SqFt'!$P$18:$P$87=A103)/('Project SqFt'!$Q$18:$Q$87=B103),'Project SqFt'!$U$18:$U$87))=0,"",IFERROR(_xlfn.IFNA(LOOKUP(2,1/('Project SqFt'!$A$18:$A$87=A103)/('Project SqFt'!$B$18:$B$87=B103),'Project SqFt'!$F$18:$F$87),LOOKUP(2,1/('Project SqFt'!$H$18:$H$87=A103)/('Project SqFt'!$I$18:$I$87=B103),'Project SqFt'!$M$18:$M$87)),LOOKUP(2,1/('Project SqFt'!$P$18:$P$87=A103)/('Project SqFt'!$Q$18:$Q$87=B103),'Project SqFt'!$U$18:$U$87)))</f>
        <v/>
      </c>
      <c r="D103" s="934"/>
      <c r="E103" s="934"/>
      <c r="F103" s="934"/>
      <c r="G103" s="934"/>
      <c r="H103" s="934"/>
      <c r="I103" s="194" t="str" cm="1">
        <f t="array" ref="I103">IF(IFERROR(_xlfn.IFNA(LOOKUP(2,1/('Project SqFt'!$A$18:$A$87=A103)/('Project SqFt'!$B$18:$B$87=B103),'Project SqFt'!$C$18:$C$87),LOOKUP(2,1/('Project SqFt'!$H$18:$H$87=A103)/('Project SqFt'!$I$18:$I$87=B103),'Project SqFt'!$K$18:$K$87)),LOOKUP(2,1/('Project SqFt'!$P$18:$P$87=A103)/('Project SqFt'!$Q$18:$Q$87=B103),'Project SqFt'!$R$18:$R$87))="","",IFERROR(_xlfn.IFNA(LOOKUP(2,1/('Project SqFt'!$A$18:$A$87=A103)/('Project SqFt'!$B$18:$B$87=B103),'Project SqFt'!$C$18:$C$87),LOOKUP(2,1/('Project SqFt'!$H$18:$H$87=A103)/('Project SqFt'!$I$18:$I$87=B103),'Project SqFt'!$K$18:$K$87)),LOOKUP(2,1/('Project SqFt'!$P$18:$P$87=A103)/('Project SqFt'!$Q$18:$Q$87=B103),'Project SqFt'!$R$18:$R$87)))</f>
        <v/>
      </c>
      <c r="J103" s="194" t="str" cm="1">
        <f t="array" ref="J103">IF(IFERROR(_xlfn.IFNA(LOOKUP(2,1/('Project SqFt'!$A$18:$A$87=A103)/('Project SqFt'!$B$18:$B$87=B103),'Project SqFt'!$D$18:$D$87),LOOKUP(2,1/('Project SqFt'!$H$18:$H$87=A103)/('Project SqFt'!$I$18:$I$87=B103),'Project SqFt'!$L$18:$L$87)),LOOKUP(2,1/('Project SqFt'!$P$18:$P$87=A103)/('Project SqFt'!$Q$18:$Q$87=B103),'Project SqFt'!$T$18:$T$87))="","",IFERROR(_xlfn.IFNA(LOOKUP(2,1/('Project SqFt'!$A$18:$A$87=A103)/('Project SqFt'!$B$18:$B$87=B103),'Project SqFt'!$D$18:$D$87),LOOKUP(2,1/('Project SqFt'!$H$18:$H$87=A103)/('Project SqFt'!$I$18:$I$87=B103),'Project SqFt'!$L$18:$L$87)),LOOKUP(2,1/('Project SqFt'!$P$18:$P$87=A103)/('Project SqFt'!$Q$18:$Q$87=B103),'Project SqFt'!$T$18:$T$87)))</f>
        <v/>
      </c>
      <c r="K103" s="296" t="str">
        <f>IFERROR(ROUNDDOWN(H49*I103,0),"")</f>
        <v/>
      </c>
      <c r="S103" s="50"/>
      <c r="T103" s="29"/>
      <c r="U103" s="194" t="str" cm="1">
        <f t="array" ref="U103">IF(IFERROR(_xlfn.IFNA(LOOKUP(2,1/('Project SqFt'!$A$18:$A$87=S103)/('Project SqFt'!$B$18:$B$87=T103),'Project SqFt'!$F$18:$F$87),LOOKUP(2,1/('Project SqFt'!$H$18:$H$87=S103)/('Project SqFt'!$I$18:$I$87=T103),'Project SqFt'!$M$18:$M$87)),LOOKUP(2,1/('Project SqFt'!$P$18:$P$87=S103)/('Project SqFt'!$Q$18:$Q$87=T103),'Project SqFt'!$U$18:$U$87))=0,"",IFERROR(_xlfn.IFNA(LOOKUP(2,1/('Project SqFt'!$A$18:$A$87=S103)/('Project SqFt'!$B$18:$B$87=T103),'Project SqFt'!$F$18:$F$87),LOOKUP(2,1/('Project SqFt'!$H$18:$H$87=S103)/('Project SqFt'!$I$18:$I$87=T103),'Project SqFt'!$M$18:$M$87)),LOOKUP(2,1/('Project SqFt'!$P$18:$P$87=S103)/('Project SqFt'!$Q$18:$Q$87=T103),'Project SqFt'!$U$18:$U$87)))</f>
        <v/>
      </c>
      <c r="V103" s="934"/>
      <c r="W103" s="934"/>
      <c r="X103" s="934"/>
      <c r="Y103" s="934"/>
      <c r="Z103" s="934"/>
      <c r="AA103" s="194" t="str" cm="1">
        <f t="array" ref="AA103">IF(IFERROR(_xlfn.IFNA(LOOKUP(2,1/('Project SqFt'!$A$18:$A$87=S103)/('Project SqFt'!$B$18:$B$87=T103),'Project SqFt'!$C$18:$C$87),LOOKUP(2,1/('Project SqFt'!$H$18:$H$87=S103)/('Project SqFt'!$I$18:$I$87=T103),'Project SqFt'!$K$18:$K$87)),LOOKUP(2,1/('Project SqFt'!$P$18:$P$87=S103)/('Project SqFt'!$Q$18:$Q$87=T103),'Project SqFt'!$R$18:$R$87))="","",IFERROR(_xlfn.IFNA(LOOKUP(2,1/('Project SqFt'!$A$18:$A$87=S103)/('Project SqFt'!$B$18:$B$87=T103),'Project SqFt'!$C$18:$C$87),LOOKUP(2,1/('Project SqFt'!$H$18:$H$87=S103)/('Project SqFt'!$I$18:$I$87=T103),'Project SqFt'!$K$18:$K$87)),LOOKUP(2,1/('Project SqFt'!$P$18:$P$87=S103)/('Project SqFt'!$Q$18:$Q$87=T103),'Project SqFt'!$R$18:$R$87)))</f>
        <v/>
      </c>
      <c r="AB103" s="194" t="str" cm="1">
        <f t="array" ref="AB103">IF(IFERROR(_xlfn.IFNA(LOOKUP(2,1/('Project SqFt'!$A$18:$A$87=S103)/('Project SqFt'!$B$18:$B$87=T103),'Project SqFt'!$D$18:$D$87),LOOKUP(2,1/('Project SqFt'!$H$18:$H$87=S103)/('Project SqFt'!$I$18:$I$87=T103),'Project SqFt'!$L$18:$L$87)),LOOKUP(2,1/('Project SqFt'!$P$18:$P$87=S103)/('Project SqFt'!$Q$18:$Q$87=T103),'Project SqFt'!$T$18:$T$87))="","",IFERROR(_xlfn.IFNA(LOOKUP(2,1/('Project SqFt'!$A$18:$A$87=S103)/('Project SqFt'!$B$18:$B$87=T103),'Project SqFt'!$D$18:$D$87),LOOKUP(2,1/('Project SqFt'!$H$18:$H$87=S103)/('Project SqFt'!$I$18:$I$87=T103),'Project SqFt'!$L$18:$L$87)),LOOKUP(2,1/('Project SqFt'!$P$18:$P$87=S103)/('Project SqFt'!$Q$18:$Q$87=T103),'Project SqFt'!$T$18:$T$87)))</f>
        <v/>
      </c>
      <c r="AC103" s="296" t="str">
        <f>IFERROR(ROUNDDOWN(Z49*AA103,0),"")</f>
        <v/>
      </c>
    </row>
    <row r="104" spans="1:29" x14ac:dyDescent="0.25">
      <c r="A104" s="50"/>
      <c r="B104" s="29"/>
      <c r="C104" s="194" t="str" cm="1">
        <f t="array" ref="C104">IF(IFERROR(_xlfn.IFNA(LOOKUP(2,1/('Project SqFt'!$A$18:$A$87=A104)/('Project SqFt'!$B$18:$B$87=B104),'Project SqFt'!$F$18:$F$87),LOOKUP(2,1/('Project SqFt'!$H$18:$H$87=A104)/('Project SqFt'!$I$18:$I$87=B104),'Project SqFt'!$M$18:$M$87)),LOOKUP(2,1/('Project SqFt'!$P$18:$P$87=A104)/('Project SqFt'!$Q$18:$Q$87=B104),'Project SqFt'!$U$18:$U$87))=0,"",IFERROR(_xlfn.IFNA(LOOKUP(2,1/('Project SqFt'!$A$18:$A$87=A104)/('Project SqFt'!$B$18:$B$87=B104),'Project SqFt'!$F$18:$F$87),LOOKUP(2,1/('Project SqFt'!$H$18:$H$87=A104)/('Project SqFt'!$I$18:$I$87=B104),'Project SqFt'!$M$18:$M$87)),LOOKUP(2,1/('Project SqFt'!$P$18:$P$87=A104)/('Project SqFt'!$Q$18:$Q$87=B104),'Project SqFt'!$U$18:$U$87)))</f>
        <v/>
      </c>
      <c r="D104" s="934"/>
      <c r="E104" s="934"/>
      <c r="F104" s="934"/>
      <c r="G104" s="934"/>
      <c r="H104" s="934"/>
      <c r="I104" s="194" t="str" cm="1">
        <f t="array" ref="I104">IF(IFERROR(_xlfn.IFNA(LOOKUP(2,1/('Project SqFt'!$A$18:$A$87=A104)/('Project SqFt'!$B$18:$B$87=B104),'Project SqFt'!$C$18:$C$87),LOOKUP(2,1/('Project SqFt'!$H$18:$H$87=A104)/('Project SqFt'!$I$18:$I$87=B104),'Project SqFt'!$K$18:$K$87)),LOOKUP(2,1/('Project SqFt'!$P$18:$P$87=A104)/('Project SqFt'!$Q$18:$Q$87=B104),'Project SqFt'!$R$18:$R$87))="","",IFERROR(_xlfn.IFNA(LOOKUP(2,1/('Project SqFt'!$A$18:$A$87=A104)/('Project SqFt'!$B$18:$B$87=B104),'Project SqFt'!$C$18:$C$87),LOOKUP(2,1/('Project SqFt'!$H$18:$H$87=A104)/('Project SqFt'!$I$18:$I$87=B104),'Project SqFt'!$K$18:$K$87)),LOOKUP(2,1/('Project SqFt'!$P$18:$P$87=A104)/('Project SqFt'!$Q$18:$Q$87=B104),'Project SqFt'!$R$18:$R$87)))</f>
        <v/>
      </c>
      <c r="J104" s="194" t="str" cm="1">
        <f t="array" ref="J104">IF(IFERROR(_xlfn.IFNA(LOOKUP(2,1/('Project SqFt'!$A$18:$A$87=A104)/('Project SqFt'!$B$18:$B$87=B104),'Project SqFt'!$D$18:$D$87),LOOKUP(2,1/('Project SqFt'!$H$18:$H$87=A104)/('Project SqFt'!$I$18:$I$87=B104),'Project SqFt'!$L$18:$L$87)),LOOKUP(2,1/('Project SqFt'!$P$18:$P$87=A104)/('Project SqFt'!$Q$18:$Q$87=B104),'Project SqFt'!$T$18:$T$87))="","",IFERROR(_xlfn.IFNA(LOOKUP(2,1/('Project SqFt'!$A$18:$A$87=A104)/('Project SqFt'!$B$18:$B$87=B104),'Project SqFt'!$D$18:$D$87),LOOKUP(2,1/('Project SqFt'!$H$18:$H$87=A104)/('Project SqFt'!$I$18:$I$87=B104),'Project SqFt'!$L$18:$L$87)),LOOKUP(2,1/('Project SqFt'!$P$18:$P$87=A104)/('Project SqFt'!$Q$18:$Q$87=B104),'Project SqFt'!$T$18:$T$87)))</f>
        <v/>
      </c>
      <c r="K104" s="296" t="str">
        <f>IFERROR(ROUNDDOWN(H49*I104,0),"")</f>
        <v/>
      </c>
      <c r="S104" s="50"/>
      <c r="T104" s="29"/>
      <c r="U104" s="194" t="str" cm="1">
        <f t="array" ref="U104">IF(IFERROR(_xlfn.IFNA(LOOKUP(2,1/('Project SqFt'!$A$18:$A$87=S104)/('Project SqFt'!$B$18:$B$87=T104),'Project SqFt'!$F$18:$F$87),LOOKUP(2,1/('Project SqFt'!$H$18:$H$87=S104)/('Project SqFt'!$I$18:$I$87=T104),'Project SqFt'!$M$18:$M$87)),LOOKUP(2,1/('Project SqFt'!$P$18:$P$87=S104)/('Project SqFt'!$Q$18:$Q$87=T104),'Project SqFt'!$U$18:$U$87))=0,"",IFERROR(_xlfn.IFNA(LOOKUP(2,1/('Project SqFt'!$A$18:$A$87=S104)/('Project SqFt'!$B$18:$B$87=T104),'Project SqFt'!$F$18:$F$87),LOOKUP(2,1/('Project SqFt'!$H$18:$H$87=S104)/('Project SqFt'!$I$18:$I$87=T104),'Project SqFt'!$M$18:$M$87)),LOOKUP(2,1/('Project SqFt'!$P$18:$P$87=S104)/('Project SqFt'!$Q$18:$Q$87=T104),'Project SqFt'!$U$18:$U$87)))</f>
        <v/>
      </c>
      <c r="V104" s="934"/>
      <c r="W104" s="934"/>
      <c r="X104" s="934"/>
      <c r="Y104" s="934"/>
      <c r="Z104" s="934"/>
      <c r="AA104" s="194" t="str" cm="1">
        <f t="array" ref="AA104">IF(IFERROR(_xlfn.IFNA(LOOKUP(2,1/('Project SqFt'!$A$18:$A$87=S104)/('Project SqFt'!$B$18:$B$87=T104),'Project SqFt'!$C$18:$C$87),LOOKUP(2,1/('Project SqFt'!$H$18:$H$87=S104)/('Project SqFt'!$I$18:$I$87=T104),'Project SqFt'!$K$18:$K$87)),LOOKUP(2,1/('Project SqFt'!$P$18:$P$87=S104)/('Project SqFt'!$Q$18:$Q$87=T104),'Project SqFt'!$R$18:$R$87))="","",IFERROR(_xlfn.IFNA(LOOKUP(2,1/('Project SqFt'!$A$18:$A$87=S104)/('Project SqFt'!$B$18:$B$87=T104),'Project SqFt'!$C$18:$C$87),LOOKUP(2,1/('Project SqFt'!$H$18:$H$87=S104)/('Project SqFt'!$I$18:$I$87=T104),'Project SqFt'!$K$18:$K$87)),LOOKUP(2,1/('Project SqFt'!$P$18:$P$87=S104)/('Project SqFt'!$Q$18:$Q$87=T104),'Project SqFt'!$R$18:$R$87)))</f>
        <v/>
      </c>
      <c r="AB104" s="194" t="str" cm="1">
        <f t="array" ref="AB104">IF(IFERROR(_xlfn.IFNA(LOOKUP(2,1/('Project SqFt'!$A$18:$A$87=S104)/('Project SqFt'!$B$18:$B$87=T104),'Project SqFt'!$D$18:$D$87),LOOKUP(2,1/('Project SqFt'!$H$18:$H$87=S104)/('Project SqFt'!$I$18:$I$87=T104),'Project SqFt'!$L$18:$L$87)),LOOKUP(2,1/('Project SqFt'!$P$18:$P$87=S104)/('Project SqFt'!$Q$18:$Q$87=T104),'Project SqFt'!$T$18:$T$87))="","",IFERROR(_xlfn.IFNA(LOOKUP(2,1/('Project SqFt'!$A$18:$A$87=S104)/('Project SqFt'!$B$18:$B$87=T104),'Project SqFt'!$D$18:$D$87),LOOKUP(2,1/('Project SqFt'!$H$18:$H$87=S104)/('Project SqFt'!$I$18:$I$87=T104),'Project SqFt'!$L$18:$L$87)),LOOKUP(2,1/('Project SqFt'!$P$18:$P$87=S104)/('Project SqFt'!$Q$18:$Q$87=T104),'Project SqFt'!$T$18:$T$87)))</f>
        <v/>
      </c>
      <c r="AC104" s="296" t="str">
        <f>IFERROR(ROUNDDOWN(Z49*AA104,0),"")</f>
        <v/>
      </c>
    </row>
    <row r="105" spans="1:29" x14ac:dyDescent="0.25">
      <c r="A105" s="472"/>
      <c r="B105" s="364"/>
      <c r="C105" s="194" t="str" cm="1">
        <f t="array" ref="C105">IF(IFERROR(_xlfn.IFNA(LOOKUP(2,1/('Project SqFt'!$A$18:$A$87=A105)/('Project SqFt'!$B$18:$B$87=B105),'Project SqFt'!$F$18:$F$87),LOOKUP(2,1/('Project SqFt'!$H$18:$H$87=A105)/('Project SqFt'!$I$18:$I$87=B105),'Project SqFt'!$M$18:$M$87)),LOOKUP(2,1/('Project SqFt'!$P$18:$P$87=A105)/('Project SqFt'!$Q$18:$Q$87=B105),'Project SqFt'!$U$18:$U$87))=0,"",IFERROR(_xlfn.IFNA(LOOKUP(2,1/('Project SqFt'!$A$18:$A$87=A105)/('Project SqFt'!$B$18:$B$87=B105),'Project SqFt'!$F$18:$F$87),LOOKUP(2,1/('Project SqFt'!$H$18:$H$87=A105)/('Project SqFt'!$I$18:$I$87=B105),'Project SqFt'!$M$18:$M$87)),LOOKUP(2,1/('Project SqFt'!$P$18:$P$87=A105)/('Project SqFt'!$Q$18:$Q$87=B105),'Project SqFt'!$U$18:$U$87)))</f>
        <v/>
      </c>
      <c r="D105" s="934"/>
      <c r="E105" s="934"/>
      <c r="F105" s="934"/>
      <c r="G105" s="934"/>
      <c r="H105" s="934"/>
      <c r="I105" s="194" t="str" cm="1">
        <f t="array" ref="I105">IF(IFERROR(_xlfn.IFNA(LOOKUP(2,1/('Project SqFt'!$A$18:$A$87=A105)/('Project SqFt'!$B$18:$B$87=B105),'Project SqFt'!$C$18:$C$87),LOOKUP(2,1/('Project SqFt'!$H$18:$H$87=A105)/('Project SqFt'!$I$18:$I$87=B105),'Project SqFt'!$K$18:$K$87)),LOOKUP(2,1/('Project SqFt'!$P$18:$P$87=A105)/('Project SqFt'!$Q$18:$Q$87=B105),'Project SqFt'!$R$18:$R$87))="","",IFERROR(_xlfn.IFNA(LOOKUP(2,1/('Project SqFt'!$A$18:$A$87=A105)/('Project SqFt'!$B$18:$B$87=B105),'Project SqFt'!$C$18:$C$87),LOOKUP(2,1/('Project SqFt'!$H$18:$H$87=A105)/('Project SqFt'!$I$18:$I$87=B105),'Project SqFt'!$K$18:$K$87)),LOOKUP(2,1/('Project SqFt'!$P$18:$P$87=A105)/('Project SqFt'!$Q$18:$Q$87=B105),'Project SqFt'!$R$18:$R$87)))</f>
        <v/>
      </c>
      <c r="J105" s="194" t="str" cm="1">
        <f t="array" ref="J105">IF(IFERROR(_xlfn.IFNA(LOOKUP(2,1/('Project SqFt'!$A$18:$A$87=A105)/('Project SqFt'!$B$18:$B$87=B105),'Project SqFt'!$D$18:$D$87),LOOKUP(2,1/('Project SqFt'!$H$18:$H$87=A105)/('Project SqFt'!$I$18:$I$87=B105),'Project SqFt'!$L$18:$L$87)),LOOKUP(2,1/('Project SqFt'!$P$18:$P$87=A105)/('Project SqFt'!$Q$18:$Q$87=B105),'Project SqFt'!$T$18:$T$87))="","",IFERROR(_xlfn.IFNA(LOOKUP(2,1/('Project SqFt'!$A$18:$A$87=A105)/('Project SqFt'!$B$18:$B$87=B105),'Project SqFt'!$D$18:$D$87),LOOKUP(2,1/('Project SqFt'!$H$18:$H$87=A105)/('Project SqFt'!$I$18:$I$87=B105),'Project SqFt'!$L$18:$L$87)),LOOKUP(2,1/('Project SqFt'!$P$18:$P$87=A105)/('Project SqFt'!$Q$18:$Q$87=B105),'Project SqFt'!$T$18:$T$87)))</f>
        <v/>
      </c>
      <c r="K105" s="296" t="str">
        <f>IFERROR(ROUNDDOWN(H49*I105,0),"")</f>
        <v/>
      </c>
      <c r="S105" s="472"/>
      <c r="T105" s="364"/>
      <c r="U105" s="194" t="str" cm="1">
        <f t="array" ref="U105">IF(IFERROR(_xlfn.IFNA(LOOKUP(2,1/('Project SqFt'!$A$18:$A$87=S105)/('Project SqFt'!$B$18:$B$87=T105),'Project SqFt'!$F$18:$F$87),LOOKUP(2,1/('Project SqFt'!$H$18:$H$87=S105)/('Project SqFt'!$I$18:$I$87=T105),'Project SqFt'!$M$18:$M$87)),LOOKUP(2,1/('Project SqFt'!$P$18:$P$87=S105)/('Project SqFt'!$Q$18:$Q$87=T105),'Project SqFt'!$U$18:$U$87))=0,"",IFERROR(_xlfn.IFNA(LOOKUP(2,1/('Project SqFt'!$A$18:$A$87=S105)/('Project SqFt'!$B$18:$B$87=T105),'Project SqFt'!$F$18:$F$87),LOOKUP(2,1/('Project SqFt'!$H$18:$H$87=S105)/('Project SqFt'!$I$18:$I$87=T105),'Project SqFt'!$M$18:$M$87)),LOOKUP(2,1/('Project SqFt'!$P$18:$P$87=S105)/('Project SqFt'!$Q$18:$Q$87=T105),'Project SqFt'!$U$18:$U$87)))</f>
        <v/>
      </c>
      <c r="V105" s="934"/>
      <c r="W105" s="934"/>
      <c r="X105" s="934"/>
      <c r="Y105" s="934"/>
      <c r="Z105" s="934"/>
      <c r="AA105" s="194" t="str" cm="1">
        <f t="array" ref="AA105">IF(IFERROR(_xlfn.IFNA(LOOKUP(2,1/('Project SqFt'!$A$18:$A$87=S105)/('Project SqFt'!$B$18:$B$87=T105),'Project SqFt'!$C$18:$C$87),LOOKUP(2,1/('Project SqFt'!$H$18:$H$87=S105)/('Project SqFt'!$I$18:$I$87=T105),'Project SqFt'!$K$18:$K$87)),LOOKUP(2,1/('Project SqFt'!$P$18:$P$87=S105)/('Project SqFt'!$Q$18:$Q$87=T105),'Project SqFt'!$R$18:$R$87))="","",IFERROR(_xlfn.IFNA(LOOKUP(2,1/('Project SqFt'!$A$18:$A$87=S105)/('Project SqFt'!$B$18:$B$87=T105),'Project SqFt'!$C$18:$C$87),LOOKUP(2,1/('Project SqFt'!$H$18:$H$87=S105)/('Project SqFt'!$I$18:$I$87=T105),'Project SqFt'!$K$18:$K$87)),LOOKUP(2,1/('Project SqFt'!$P$18:$P$87=S105)/('Project SqFt'!$Q$18:$Q$87=T105),'Project SqFt'!$R$18:$R$87)))</f>
        <v/>
      </c>
      <c r="AB105" s="194" t="str" cm="1">
        <f t="array" ref="AB105">IF(IFERROR(_xlfn.IFNA(LOOKUP(2,1/('Project SqFt'!$A$18:$A$87=S105)/('Project SqFt'!$B$18:$B$87=T105),'Project SqFt'!$D$18:$D$87),LOOKUP(2,1/('Project SqFt'!$H$18:$H$87=S105)/('Project SqFt'!$I$18:$I$87=T105),'Project SqFt'!$L$18:$L$87)),LOOKUP(2,1/('Project SqFt'!$P$18:$P$87=S105)/('Project SqFt'!$Q$18:$Q$87=T105),'Project SqFt'!$T$18:$T$87))="","",IFERROR(_xlfn.IFNA(LOOKUP(2,1/('Project SqFt'!$A$18:$A$87=S105)/('Project SqFt'!$B$18:$B$87=T105),'Project SqFt'!$D$18:$D$87),LOOKUP(2,1/('Project SqFt'!$H$18:$H$87=S105)/('Project SqFt'!$I$18:$I$87=T105),'Project SqFt'!$L$18:$L$87)),LOOKUP(2,1/('Project SqFt'!$P$18:$P$87=S105)/('Project SqFt'!$Q$18:$Q$87=T105),'Project SqFt'!$T$18:$T$87)))</f>
        <v/>
      </c>
      <c r="AC105" s="296" t="str">
        <f>IFERROR(ROUNDDOWN(Z49*AA105,0),"")</f>
        <v/>
      </c>
    </row>
    <row r="106" spans="1:29" x14ac:dyDescent="0.25">
      <c r="A106" s="1113" t="s">
        <v>814</v>
      </c>
      <c r="B106" s="878"/>
      <c r="C106" s="878"/>
      <c r="D106" s="878"/>
      <c r="E106" s="878"/>
      <c r="F106" s="878"/>
      <c r="G106" s="878"/>
      <c r="H106" s="878"/>
      <c r="I106" s="878"/>
      <c r="J106" s="878"/>
      <c r="K106" s="296">
        <f>SUM(K66:K105)</f>
        <v>0</v>
      </c>
      <c r="S106" s="1113" t="s">
        <v>988</v>
      </c>
      <c r="T106" s="878"/>
      <c r="U106" s="878"/>
      <c r="V106" s="878"/>
      <c r="W106" s="878"/>
      <c r="X106" s="878"/>
      <c r="Y106" s="878"/>
      <c r="Z106" s="878"/>
      <c r="AA106" s="878"/>
      <c r="AB106" s="878"/>
      <c r="AC106" s="296">
        <f>SUM(AC66:AC105)</f>
        <v>0</v>
      </c>
    </row>
    <row r="107" spans="1:29" x14ac:dyDescent="0.25">
      <c r="A107" s="1113" t="s">
        <v>815</v>
      </c>
      <c r="B107" s="878"/>
      <c r="C107" s="878"/>
      <c r="D107" s="878"/>
      <c r="E107" s="878"/>
      <c r="F107" s="878"/>
      <c r="G107" s="878"/>
      <c r="H107" s="878"/>
      <c r="I107" s="878"/>
      <c r="J107" s="878"/>
      <c r="K107" s="296">
        <f>IF(I53="Yes",C52,0)</f>
        <v>0</v>
      </c>
      <c r="S107" s="1113" t="s">
        <v>815</v>
      </c>
      <c r="T107" s="878"/>
      <c r="U107" s="878"/>
      <c r="V107" s="878"/>
      <c r="W107" s="878"/>
      <c r="X107" s="878"/>
      <c r="Y107" s="878"/>
      <c r="Z107" s="878"/>
      <c r="AA107" s="878"/>
      <c r="AB107" s="878"/>
      <c r="AC107" s="296">
        <f>IF(AA53="Yes",U52,0)</f>
        <v>0</v>
      </c>
    </row>
    <row r="108" spans="1:29" ht="16.5" thickBot="1" x14ac:dyDescent="0.3">
      <c r="A108" s="1114" t="s">
        <v>816</v>
      </c>
      <c r="B108" s="1115"/>
      <c r="C108" s="1115"/>
      <c r="D108" s="1115"/>
      <c r="E108" s="1115"/>
      <c r="F108" s="1115"/>
      <c r="G108" s="1115"/>
      <c r="H108" s="1115"/>
      <c r="I108" s="1115"/>
      <c r="J108" s="1115"/>
      <c r="K108" s="556">
        <f>SUM(K106:K107)</f>
        <v>0</v>
      </c>
      <c r="S108" s="1114" t="s">
        <v>989</v>
      </c>
      <c r="T108" s="1115"/>
      <c r="U108" s="1115"/>
      <c r="V108" s="1115"/>
      <c r="W108" s="1115"/>
      <c r="X108" s="1115"/>
      <c r="Y108" s="1115"/>
      <c r="Z108" s="1115"/>
      <c r="AA108" s="1115"/>
      <c r="AB108" s="1115"/>
      <c r="AC108" s="556">
        <f>SUM(AC106:AC107)</f>
        <v>0</v>
      </c>
    </row>
    <row r="110" spans="1:29" ht="18.75" x14ac:dyDescent="0.3">
      <c r="A110" s="805" t="s">
        <v>994</v>
      </c>
      <c r="B110" s="805"/>
      <c r="C110" s="805"/>
      <c r="D110" s="805"/>
      <c r="E110" s="805"/>
      <c r="F110" s="805"/>
      <c r="G110" s="805"/>
      <c r="H110" s="805"/>
      <c r="I110" s="805"/>
      <c r="J110" s="805"/>
      <c r="K110" s="805"/>
      <c r="S110" s="805" t="s">
        <v>995</v>
      </c>
      <c r="T110" s="805"/>
      <c r="U110" s="805"/>
      <c r="V110" s="805"/>
      <c r="W110" s="805"/>
      <c r="X110" s="805"/>
      <c r="Y110" s="805"/>
      <c r="Z110" s="805"/>
      <c r="AA110" s="805"/>
      <c r="AB110" s="805"/>
      <c r="AC110" s="805"/>
    </row>
    <row r="111" spans="1:29" x14ac:dyDescent="0.25">
      <c r="C111" s="433" t="s">
        <v>846</v>
      </c>
      <c r="D111" s="655" t="s">
        <v>40</v>
      </c>
      <c r="E111" s="655"/>
      <c r="F111" s="655" t="s">
        <v>818</v>
      </c>
      <c r="G111" s="655"/>
      <c r="H111" s="655"/>
      <c r="I111" s="655" t="s">
        <v>819</v>
      </c>
      <c r="J111" s="655"/>
      <c r="U111" s="433" t="s">
        <v>1000</v>
      </c>
      <c r="V111" s="655" t="s">
        <v>40</v>
      </c>
      <c r="W111" s="655"/>
      <c r="X111" s="655" t="s">
        <v>818</v>
      </c>
      <c r="Y111" s="655"/>
      <c r="Z111" s="655"/>
      <c r="AA111" s="655" t="s">
        <v>819</v>
      </c>
      <c r="AB111" s="655"/>
    </row>
    <row r="112" spans="1:29" x14ac:dyDescent="0.25">
      <c r="C112" s="462">
        <f>COUNTIF(J66:J105,D112)</f>
        <v>0</v>
      </c>
      <c r="D112" s="926" t="s">
        <v>57</v>
      </c>
      <c r="E112" s="926"/>
      <c r="F112" s="1099" cm="1">
        <f t="array" aca="1" ref="F112" ca="1">IF($B$4=(INDIRECT("'"&amp;$C$46&amp;"'!$C$64")),INDIRECT("'"&amp;$C$46&amp;"'!$C$65"),INDIRECT("'"&amp;$C$46&amp;"'!$B$65"))</f>
        <v>191973.6</v>
      </c>
      <c r="G112" s="1099"/>
      <c r="H112" s="1099"/>
      <c r="I112" s="1099">
        <f ca="1">C112*F112</f>
        <v>0</v>
      </c>
      <c r="J112" s="1099"/>
      <c r="U112" s="462">
        <f>COUNTIF(AB66:AB105,V112)</f>
        <v>0</v>
      </c>
      <c r="V112" s="926" t="s">
        <v>57</v>
      </c>
      <c r="W112" s="926"/>
      <c r="X112" s="1099" cm="1">
        <f t="array" aca="1" ref="X112" ca="1">IF($T$4=(INDIRECT("'"&amp;$U$46&amp;"'!$C$64")),INDIRECT("'"&amp;$U$46&amp;"'!$C$65"),INDIRECT("'"&amp;$U$46&amp;"'!$B$65"))</f>
        <v>191973.6</v>
      </c>
      <c r="Y112" s="1099"/>
      <c r="Z112" s="1099"/>
      <c r="AA112" s="1099">
        <f ca="1">U112*X112</f>
        <v>0</v>
      </c>
      <c r="AB112" s="1099"/>
    </row>
    <row r="113" spans="1:29" x14ac:dyDescent="0.25">
      <c r="C113" s="462">
        <f>COUNTIF(J66:J105,D113)</f>
        <v>0</v>
      </c>
      <c r="D113" s="926">
        <v>1</v>
      </c>
      <c r="E113" s="926"/>
      <c r="F113" s="1099" cm="1">
        <f t="array" aca="1" ref="F113" ca="1">IF($B$4=(INDIRECT("'"&amp;$C$46&amp;"'!$C$64")),INDIRECT("'"&amp;$C$46&amp;"'!$C$66"),INDIRECT("'"&amp;$C$46&amp;"'!$B$66"))</f>
        <v>220068</v>
      </c>
      <c r="G113" s="1099"/>
      <c r="H113" s="1099"/>
      <c r="I113" s="1099">
        <f ca="1">C113*F113</f>
        <v>0</v>
      </c>
      <c r="J113" s="1099"/>
      <c r="U113" s="462">
        <f>COUNTIF(AB66:AB105,V113)</f>
        <v>0</v>
      </c>
      <c r="V113" s="926">
        <v>1</v>
      </c>
      <c r="W113" s="926"/>
      <c r="X113" s="1099" cm="1">
        <f t="array" aca="1" ref="X113" ca="1">IF($T$4=(INDIRECT("'"&amp;$U$46&amp;"'!$C$64")),INDIRECT("'"&amp;$U$46&amp;"'!$C$66"),INDIRECT("'"&amp;$U$46&amp;"'!$B$66"))</f>
        <v>220068</v>
      </c>
      <c r="Y113" s="1099"/>
      <c r="Z113" s="1099"/>
      <c r="AA113" s="1099">
        <f ca="1">U113*X113</f>
        <v>0</v>
      </c>
      <c r="AB113" s="1099"/>
    </row>
    <row r="114" spans="1:29" x14ac:dyDescent="0.25">
      <c r="C114" s="462">
        <f>COUNTIF(J66:J105,D114)</f>
        <v>0</v>
      </c>
      <c r="D114" s="926">
        <v>2</v>
      </c>
      <c r="E114" s="926"/>
      <c r="F114" s="1099" cm="1">
        <f t="array" aca="1" ref="F114" ca="1">IF($B$4=(INDIRECT("'"&amp;$C$46&amp;"'!$C$64")),INDIRECT("'"&amp;$C$46&amp;"'!$C$67"),INDIRECT("'"&amp;$C$46&amp;"'!$B$67"))</f>
        <v>267609.59999999998</v>
      </c>
      <c r="G114" s="1099"/>
      <c r="H114" s="1099"/>
      <c r="I114" s="1099">
        <f ca="1">C114*F114</f>
        <v>0</v>
      </c>
      <c r="J114" s="1099"/>
      <c r="U114" s="462">
        <f>COUNTIF(AB66:AB105,V114)</f>
        <v>0</v>
      </c>
      <c r="V114" s="926">
        <v>2</v>
      </c>
      <c r="W114" s="926"/>
      <c r="X114" s="1099" cm="1">
        <f t="array" aca="1" ref="X114" ca="1">IF($T$4=(INDIRECT("'"&amp;$U$46&amp;"'!$C$64")),INDIRECT("'"&amp;$U$46&amp;"'!$C$67"),INDIRECT("'"&amp;$U$46&amp;"'!$B$67"))</f>
        <v>267609.59999999998</v>
      </c>
      <c r="Y114" s="1099"/>
      <c r="Z114" s="1099"/>
      <c r="AA114" s="1099">
        <f ca="1">U114*X114</f>
        <v>0</v>
      </c>
      <c r="AB114" s="1099"/>
    </row>
    <row r="115" spans="1:29" x14ac:dyDescent="0.25">
      <c r="C115" s="462">
        <f>COUNTIF(J66:J105,D115)</f>
        <v>0</v>
      </c>
      <c r="D115" s="926">
        <v>3</v>
      </c>
      <c r="E115" s="926"/>
      <c r="F115" s="1099" cm="1">
        <f t="array" aca="1" ref="F115" ca="1">IF($B$4=(INDIRECT("'"&amp;$C$46&amp;"'!$C$64")),INDIRECT("'"&amp;$C$46&amp;"'!$C$68"),INDIRECT("'"&amp;$C$46&amp;"'!$B$68"))</f>
        <v>346202.39999999997</v>
      </c>
      <c r="G115" s="1099"/>
      <c r="H115" s="1099"/>
      <c r="I115" s="1099">
        <f ca="1">C115*F115</f>
        <v>0</v>
      </c>
      <c r="J115" s="1099"/>
      <c r="U115" s="462">
        <f>COUNTIF(AB66:AB105,V115)</f>
        <v>0</v>
      </c>
      <c r="V115" s="926">
        <v>3</v>
      </c>
      <c r="W115" s="926"/>
      <c r="X115" s="1099" cm="1">
        <f t="array" aca="1" ref="X115" ca="1">IF($T$4=(INDIRECT("'"&amp;$U$46&amp;"'!$C$64")),INDIRECT("'"&amp;$U$46&amp;"'!$C$68"),INDIRECT("'"&amp;$U$46&amp;"'!$B$68"))</f>
        <v>346202.39999999997</v>
      </c>
      <c r="Y115" s="1099"/>
      <c r="Z115" s="1099"/>
      <c r="AA115" s="1099">
        <f ca="1">U115*X115</f>
        <v>0</v>
      </c>
      <c r="AB115" s="1099"/>
    </row>
    <row r="116" spans="1:29" x14ac:dyDescent="0.25">
      <c r="C116" s="462">
        <f>COUNTIF(J66:J105,D116)</f>
        <v>0</v>
      </c>
      <c r="D116" s="926">
        <v>4</v>
      </c>
      <c r="E116" s="926"/>
      <c r="F116" s="1099" cm="1">
        <f t="array" aca="1" ref="F116" ca="1">IF($B$4=(INDIRECT("'"&amp;$C$46&amp;"'!$C$64")),INDIRECT("'"&amp;$C$46&amp;"'!$C$69"),INDIRECT("'"&amp;$C$46&amp;"'!$B$69"))</f>
        <v>380018.39999999997</v>
      </c>
      <c r="G116" s="1099"/>
      <c r="H116" s="1099"/>
      <c r="I116" s="1099">
        <f ca="1">C116*F116</f>
        <v>0</v>
      </c>
      <c r="J116" s="1099"/>
      <c r="U116" s="462">
        <f>COUNTIF(AB66:AB105,V116)</f>
        <v>0</v>
      </c>
      <c r="V116" s="926">
        <v>4</v>
      </c>
      <c r="W116" s="926"/>
      <c r="X116" s="1099" cm="1">
        <f t="array" aca="1" ref="X116" ca="1">IF($T$4=(INDIRECT("'"&amp;$U$46&amp;"'!$C$64")),INDIRECT("'"&amp;$U$46&amp;"'!$C$69"),INDIRECT("'"&amp;$U$46&amp;"'!$B$69"))</f>
        <v>380018.39999999997</v>
      </c>
      <c r="Y116" s="1099"/>
      <c r="Z116" s="1099"/>
      <c r="AA116" s="1099">
        <f ca="1">U116*X116</f>
        <v>0</v>
      </c>
      <c r="AB116" s="1099"/>
    </row>
    <row r="117" spans="1:29" ht="15.75" x14ac:dyDescent="0.25">
      <c r="H117" s="718" t="s">
        <v>817</v>
      </c>
      <c r="I117" s="719"/>
      <c r="J117" s="720"/>
      <c r="K117" s="466">
        <f ca="1">SUM(I112:J116)</f>
        <v>0</v>
      </c>
      <c r="Z117" s="718" t="s">
        <v>817</v>
      </c>
      <c r="AA117" s="719"/>
      <c r="AB117" s="720"/>
      <c r="AC117" s="466">
        <f ca="1">SUM(AA112:AB116)</f>
        <v>0</v>
      </c>
    </row>
    <row r="119" spans="1:29" ht="18.75" x14ac:dyDescent="0.3">
      <c r="A119" s="805" t="s">
        <v>820</v>
      </c>
      <c r="B119" s="805"/>
      <c r="C119" s="805"/>
      <c r="D119" s="805"/>
      <c r="E119" s="805"/>
      <c r="F119" s="805"/>
      <c r="G119" s="805"/>
      <c r="H119" s="805"/>
      <c r="I119" s="805"/>
      <c r="J119" s="805"/>
      <c r="K119" s="805"/>
      <c r="S119" s="805" t="s">
        <v>996</v>
      </c>
      <c r="T119" s="805"/>
      <c r="U119" s="805"/>
      <c r="V119" s="805"/>
      <c r="W119" s="805"/>
      <c r="X119" s="805"/>
      <c r="Y119" s="805"/>
      <c r="Z119" s="805"/>
      <c r="AA119" s="805"/>
      <c r="AB119" s="805"/>
      <c r="AC119" s="805"/>
    </row>
    <row r="120" spans="1:29" x14ac:dyDescent="0.25">
      <c r="B120" s="945" t="s">
        <v>821</v>
      </c>
      <c r="C120" s="945"/>
      <c r="D120" s="945"/>
      <c r="E120" s="945"/>
      <c r="F120" s="945"/>
      <c r="G120" s="945"/>
      <c r="H120" s="1099">
        <f>'Project Summary'!$I$66</f>
        <v>0</v>
      </c>
      <c r="I120" s="1099"/>
      <c r="J120" s="1099"/>
      <c r="T120" s="945" t="s">
        <v>997</v>
      </c>
      <c r="U120" s="945"/>
      <c r="V120" s="945"/>
      <c r="W120" s="945"/>
      <c r="X120" s="945"/>
      <c r="Y120" s="945"/>
      <c r="Z120" s="1099">
        <f>'Project Summary'!$I$44</f>
        <v>0</v>
      </c>
      <c r="AA120" s="1099"/>
      <c r="AB120" s="1099"/>
    </row>
    <row r="121" spans="1:29" x14ac:dyDescent="0.25">
      <c r="B121" s="945" t="s">
        <v>816</v>
      </c>
      <c r="C121" s="945"/>
      <c r="D121" s="945"/>
      <c r="E121" s="945"/>
      <c r="F121" s="945"/>
      <c r="G121" s="945"/>
      <c r="H121" s="1099">
        <f>K108</f>
        <v>0</v>
      </c>
      <c r="I121" s="1099"/>
      <c r="J121" s="1099"/>
      <c r="T121" s="945" t="s">
        <v>989</v>
      </c>
      <c r="U121" s="945"/>
      <c r="V121" s="945"/>
      <c r="W121" s="945"/>
      <c r="X121" s="945"/>
      <c r="Y121" s="945"/>
      <c r="Z121" s="1099">
        <f>AC108</f>
        <v>0</v>
      </c>
      <c r="AA121" s="1099"/>
      <c r="AB121" s="1099"/>
    </row>
    <row r="122" spans="1:29" x14ac:dyDescent="0.25">
      <c r="B122" s="945" t="s">
        <v>817</v>
      </c>
      <c r="C122" s="945"/>
      <c r="D122" s="945"/>
      <c r="E122" s="945"/>
      <c r="F122" s="945"/>
      <c r="G122" s="945"/>
      <c r="H122" s="1099">
        <f ca="1">K117</f>
        <v>0</v>
      </c>
      <c r="I122" s="1099"/>
      <c r="J122" s="1099"/>
      <c r="T122" s="945" t="s">
        <v>817</v>
      </c>
      <c r="U122" s="945"/>
      <c r="V122" s="945"/>
      <c r="W122" s="945"/>
      <c r="X122" s="945"/>
      <c r="Y122" s="945"/>
      <c r="Z122" s="1099">
        <f ca="1">AC117</f>
        <v>0</v>
      </c>
      <c r="AA122" s="1099"/>
      <c r="AB122" s="1099"/>
    </row>
    <row r="123" spans="1:29" ht="15.75" x14ac:dyDescent="0.25">
      <c r="H123" s="674" t="s">
        <v>822</v>
      </c>
      <c r="I123" s="674"/>
      <c r="J123" s="674"/>
      <c r="K123" s="466">
        <f ca="1">MIN(H120,H121,H122)</f>
        <v>0</v>
      </c>
      <c r="Z123" s="674" t="s">
        <v>1003</v>
      </c>
      <c r="AA123" s="674"/>
      <c r="AB123" s="674"/>
      <c r="AC123" s="466">
        <f ca="1">MIN(Z120,Z121,Z122)</f>
        <v>0</v>
      </c>
    </row>
    <row r="125" spans="1:29" ht="23.25" x14ac:dyDescent="0.35">
      <c r="A125" s="1106" t="s">
        <v>851</v>
      </c>
      <c r="B125" s="1106"/>
      <c r="C125" s="1106"/>
      <c r="D125" s="1106"/>
      <c r="E125" s="1106"/>
      <c r="F125" s="1106"/>
      <c r="G125" s="1106"/>
      <c r="H125" s="1106"/>
      <c r="I125" s="1106"/>
      <c r="J125" s="1106"/>
      <c r="K125" s="1106"/>
      <c r="S125" s="1106" t="s">
        <v>999</v>
      </c>
      <c r="T125" s="1106"/>
      <c r="U125" s="1106"/>
      <c r="V125" s="1106"/>
      <c r="W125" s="1106"/>
      <c r="X125" s="1106"/>
      <c r="Y125" s="1106"/>
      <c r="Z125" s="1106"/>
      <c r="AA125" s="1106"/>
      <c r="AB125" s="1106"/>
      <c r="AC125" s="1106"/>
    </row>
    <row r="126" spans="1:29" ht="5.0999999999999996" customHeight="1" x14ac:dyDescent="0.3">
      <c r="A126" s="434"/>
      <c r="B126" s="434"/>
      <c r="C126" s="434"/>
      <c r="D126" s="434"/>
      <c r="E126" s="434"/>
      <c r="F126" s="434"/>
      <c r="G126" s="434"/>
      <c r="H126" s="434"/>
      <c r="I126" s="434"/>
      <c r="J126" s="434"/>
      <c r="K126" s="434"/>
      <c r="S126" s="434"/>
      <c r="T126" s="434"/>
      <c r="U126" s="434"/>
      <c r="V126" s="434"/>
      <c r="W126" s="434"/>
      <c r="X126" s="434"/>
      <c r="Y126" s="434"/>
      <c r="Z126" s="434"/>
      <c r="AA126" s="434"/>
      <c r="AB126" s="434"/>
      <c r="AC126" s="434"/>
    </row>
    <row r="127" spans="1:29" ht="30" customHeight="1" x14ac:dyDescent="0.25">
      <c r="A127" s="445" t="s">
        <v>488</v>
      </c>
      <c r="B127" s="445" t="s">
        <v>825</v>
      </c>
      <c r="C127" s="445" t="s">
        <v>848</v>
      </c>
      <c r="D127" s="445" t="s">
        <v>770</v>
      </c>
      <c r="E127" s="445" t="s">
        <v>771</v>
      </c>
      <c r="F127" s="445" t="s">
        <v>826</v>
      </c>
      <c r="G127" s="1109" t="s">
        <v>845</v>
      </c>
      <c r="H127" s="1109"/>
      <c r="I127" s="1109" t="s">
        <v>850</v>
      </c>
      <c r="J127" s="1109"/>
      <c r="K127" s="445" t="s">
        <v>849</v>
      </c>
      <c r="S127" s="445" t="s">
        <v>488</v>
      </c>
      <c r="T127" s="445" t="s">
        <v>825</v>
      </c>
      <c r="U127" s="445" t="s">
        <v>848</v>
      </c>
      <c r="V127" s="445" t="s">
        <v>770</v>
      </c>
      <c r="W127" s="445" t="s">
        <v>771</v>
      </c>
      <c r="X127" s="445" t="s">
        <v>826</v>
      </c>
      <c r="Y127" s="1109" t="s">
        <v>1001</v>
      </c>
      <c r="Z127" s="1109"/>
      <c r="AA127" s="1109" t="s">
        <v>850</v>
      </c>
      <c r="AB127" s="1109"/>
      <c r="AC127" s="445" t="s">
        <v>1002</v>
      </c>
    </row>
    <row r="128" spans="1:29" x14ac:dyDescent="0.25">
      <c r="A128" s="194" t="str">
        <f t="shared" ref="A128:A153" si="3">A9</f>
        <v>A</v>
      </c>
      <c r="B128" s="194" t="str">
        <f t="shared" ref="B128:F137" si="4">IF(B9="","",B9)</f>
        <v/>
      </c>
      <c r="C128" s="463" t="str">
        <f t="shared" si="4"/>
        <v/>
      </c>
      <c r="D128" s="194" t="str">
        <f t="shared" si="4"/>
        <v/>
      </c>
      <c r="E128" s="464" t="str">
        <f t="shared" si="4"/>
        <v/>
      </c>
      <c r="F128" s="125" t="str">
        <f t="shared" si="4"/>
        <v/>
      </c>
      <c r="G128" s="926" t="str">
        <f>IF($F$59=$A$125,IF(B128="","",ROUNDUP($H$50*B128,0)),"")</f>
        <v/>
      </c>
      <c r="H128" s="926"/>
      <c r="I128" s="1105">
        <f>IFERROR(IF(F128="",0,F128*H49),"")</f>
        <v>0</v>
      </c>
      <c r="J128" s="1105"/>
      <c r="K128" s="122" t="str">
        <f>IFERROR(G128*I128,"")</f>
        <v/>
      </c>
      <c r="S128" s="194" t="str">
        <f t="shared" ref="S128:S153" si="5">S9</f>
        <v>A</v>
      </c>
      <c r="T128" s="194" t="str">
        <f>IF(T9="","",T9)</f>
        <v/>
      </c>
      <c r="U128" s="463" t="str">
        <f>IF(U9="","",U9)</f>
        <v/>
      </c>
      <c r="V128" s="194" t="str">
        <f>IF(V9="","",V9)</f>
        <v/>
      </c>
      <c r="W128" s="464" t="str">
        <f>IF(W9="","",W9)</f>
        <v/>
      </c>
      <c r="X128" s="125" t="str">
        <f>IF(X9="","",X9)</f>
        <v/>
      </c>
      <c r="Y128" s="926" t="str">
        <f>IF($X$59=$S$125,IF(T128="","",ROUNDUP($Z$50*T128,0)),"")</f>
        <v/>
      </c>
      <c r="Z128" s="926"/>
      <c r="AA128" s="1105">
        <f>IFERROR(IF(X128="",0,X128*Z49),"")</f>
        <v>0</v>
      </c>
      <c r="AB128" s="1105"/>
      <c r="AC128" s="122" t="str">
        <f>IFERROR(Y128*AA128,"")</f>
        <v/>
      </c>
    </row>
    <row r="129" spans="1:29" x14ac:dyDescent="0.25">
      <c r="A129" s="194" t="str">
        <f t="shared" si="3"/>
        <v>B</v>
      </c>
      <c r="B129" s="194" t="str">
        <f t="shared" si="4"/>
        <v/>
      </c>
      <c r="C129" s="463" t="str">
        <f t="shared" si="4"/>
        <v/>
      </c>
      <c r="D129" s="194" t="str">
        <f t="shared" si="4"/>
        <v/>
      </c>
      <c r="E129" s="464" t="str">
        <f t="shared" si="4"/>
        <v/>
      </c>
      <c r="F129" s="125" t="str">
        <f t="shared" si="4"/>
        <v/>
      </c>
      <c r="G129" s="926" t="str">
        <f t="shared" ref="G129:G153" si="6">IF($F$59=$A$125,IF(B129="","",ROUNDUP($H$50*B129,0)),"")</f>
        <v/>
      </c>
      <c r="H129" s="926"/>
      <c r="I129" s="1105">
        <f>IFERROR(IF(F129="",0,F129*H49),"")</f>
        <v>0</v>
      </c>
      <c r="J129" s="1105"/>
      <c r="K129" s="122" t="str">
        <f t="shared" ref="K129:K152" si="7">IFERROR(G129*I129,"")</f>
        <v/>
      </c>
      <c r="S129" s="194" t="str">
        <f t="shared" si="5"/>
        <v>B</v>
      </c>
      <c r="T129" s="194" t="str">
        <f t="shared" ref="T129:X129" si="8">IF(T10="","",T10)</f>
        <v/>
      </c>
      <c r="U129" s="463" t="str">
        <f t="shared" si="8"/>
        <v/>
      </c>
      <c r="V129" s="194" t="str">
        <f t="shared" si="8"/>
        <v/>
      </c>
      <c r="W129" s="464" t="str">
        <f t="shared" si="8"/>
        <v/>
      </c>
      <c r="X129" s="125" t="str">
        <f t="shared" si="8"/>
        <v/>
      </c>
      <c r="Y129" s="926" t="str">
        <f t="shared" ref="Y129:Y153" si="9">IF($X$59=$S$125,IF(T129="","",ROUNDUP($Z$50*T129,0)),"")</f>
        <v/>
      </c>
      <c r="Z129" s="926"/>
      <c r="AA129" s="1105">
        <f>IFERROR(IF(X129="",0,X129*Z49),"")</f>
        <v>0</v>
      </c>
      <c r="AB129" s="1105"/>
      <c r="AC129" s="122" t="str">
        <f t="shared" ref="AC129:AC153" si="10">IFERROR(Y129*AA129,"")</f>
        <v/>
      </c>
    </row>
    <row r="130" spans="1:29" x14ac:dyDescent="0.25">
      <c r="A130" s="194" t="str">
        <f t="shared" si="3"/>
        <v>C</v>
      </c>
      <c r="B130" s="194" t="str">
        <f t="shared" si="4"/>
        <v/>
      </c>
      <c r="C130" s="463" t="str">
        <f t="shared" si="4"/>
        <v/>
      </c>
      <c r="D130" s="194" t="str">
        <f t="shared" si="4"/>
        <v/>
      </c>
      <c r="E130" s="464" t="str">
        <f t="shared" si="4"/>
        <v/>
      </c>
      <c r="F130" s="125" t="str">
        <f t="shared" si="4"/>
        <v/>
      </c>
      <c r="G130" s="926" t="str">
        <f t="shared" si="6"/>
        <v/>
      </c>
      <c r="H130" s="926"/>
      <c r="I130" s="1105">
        <f>IFERROR(IF(F130="",0,F130*H49),"")</f>
        <v>0</v>
      </c>
      <c r="J130" s="1105"/>
      <c r="K130" s="122" t="str">
        <f t="shared" si="7"/>
        <v/>
      </c>
      <c r="S130" s="194" t="str">
        <f t="shared" si="5"/>
        <v>C</v>
      </c>
      <c r="T130" s="194" t="str">
        <f t="shared" ref="T130:X130" si="11">IF(T11="","",T11)</f>
        <v/>
      </c>
      <c r="U130" s="463" t="str">
        <f t="shared" si="11"/>
        <v/>
      </c>
      <c r="V130" s="194" t="str">
        <f t="shared" si="11"/>
        <v/>
      </c>
      <c r="W130" s="464" t="str">
        <f t="shared" si="11"/>
        <v/>
      </c>
      <c r="X130" s="125" t="str">
        <f t="shared" si="11"/>
        <v/>
      </c>
      <c r="Y130" s="926" t="str">
        <f t="shared" si="9"/>
        <v/>
      </c>
      <c r="Z130" s="926"/>
      <c r="AA130" s="1105">
        <f>IFERROR(IF(X130="",0,X130*Z49),"")</f>
        <v>0</v>
      </c>
      <c r="AB130" s="1105"/>
      <c r="AC130" s="122" t="str">
        <f t="shared" si="10"/>
        <v/>
      </c>
    </row>
    <row r="131" spans="1:29" x14ac:dyDescent="0.25">
      <c r="A131" s="194" t="str">
        <f t="shared" si="3"/>
        <v>D</v>
      </c>
      <c r="B131" s="194" t="str">
        <f t="shared" si="4"/>
        <v/>
      </c>
      <c r="C131" s="463" t="str">
        <f t="shared" si="4"/>
        <v/>
      </c>
      <c r="D131" s="194" t="str">
        <f t="shared" si="4"/>
        <v/>
      </c>
      <c r="E131" s="464" t="str">
        <f t="shared" si="4"/>
        <v/>
      </c>
      <c r="F131" s="125" t="str">
        <f t="shared" si="4"/>
        <v/>
      </c>
      <c r="G131" s="926" t="str">
        <f t="shared" si="6"/>
        <v/>
      </c>
      <c r="H131" s="926"/>
      <c r="I131" s="1105">
        <f>IFERROR(IF(F131="",0,F131*H49),"")</f>
        <v>0</v>
      </c>
      <c r="J131" s="1105"/>
      <c r="K131" s="122" t="str">
        <f t="shared" si="7"/>
        <v/>
      </c>
      <c r="S131" s="194" t="str">
        <f t="shared" si="5"/>
        <v>D</v>
      </c>
      <c r="T131" s="194" t="str">
        <f t="shared" ref="T131:X131" si="12">IF(T12="","",T12)</f>
        <v/>
      </c>
      <c r="U131" s="463" t="str">
        <f t="shared" si="12"/>
        <v/>
      </c>
      <c r="V131" s="194" t="str">
        <f t="shared" si="12"/>
        <v/>
      </c>
      <c r="W131" s="464" t="str">
        <f t="shared" si="12"/>
        <v/>
      </c>
      <c r="X131" s="125" t="str">
        <f t="shared" si="12"/>
        <v/>
      </c>
      <c r="Y131" s="926" t="str">
        <f t="shared" si="9"/>
        <v/>
      </c>
      <c r="Z131" s="926"/>
      <c r="AA131" s="1105">
        <f>IFERROR(IF(X131="",0,X131*Z49),"")</f>
        <v>0</v>
      </c>
      <c r="AB131" s="1105"/>
      <c r="AC131" s="122" t="str">
        <f t="shared" si="10"/>
        <v/>
      </c>
    </row>
    <row r="132" spans="1:29" x14ac:dyDescent="0.25">
      <c r="A132" s="194" t="str">
        <f t="shared" si="3"/>
        <v>E</v>
      </c>
      <c r="B132" s="194" t="str">
        <f t="shared" si="4"/>
        <v/>
      </c>
      <c r="C132" s="463" t="str">
        <f t="shared" si="4"/>
        <v/>
      </c>
      <c r="D132" s="194" t="str">
        <f t="shared" si="4"/>
        <v/>
      </c>
      <c r="E132" s="464" t="str">
        <f t="shared" si="4"/>
        <v/>
      </c>
      <c r="F132" s="125" t="str">
        <f t="shared" si="4"/>
        <v/>
      </c>
      <c r="G132" s="926" t="str">
        <f t="shared" si="6"/>
        <v/>
      </c>
      <c r="H132" s="926"/>
      <c r="I132" s="1105">
        <f>IFERROR(IF(F132="",0,F132*H49),"")</f>
        <v>0</v>
      </c>
      <c r="J132" s="1105"/>
      <c r="K132" s="122" t="str">
        <f t="shared" si="7"/>
        <v/>
      </c>
      <c r="S132" s="194" t="str">
        <f t="shared" si="5"/>
        <v>E</v>
      </c>
      <c r="T132" s="194" t="str">
        <f t="shared" ref="T132:X132" si="13">IF(T13="","",T13)</f>
        <v/>
      </c>
      <c r="U132" s="463" t="str">
        <f t="shared" si="13"/>
        <v/>
      </c>
      <c r="V132" s="194" t="str">
        <f t="shared" si="13"/>
        <v/>
      </c>
      <c r="W132" s="464" t="str">
        <f t="shared" si="13"/>
        <v/>
      </c>
      <c r="X132" s="125" t="str">
        <f t="shared" si="13"/>
        <v/>
      </c>
      <c r="Y132" s="926" t="str">
        <f t="shared" si="9"/>
        <v/>
      </c>
      <c r="Z132" s="926"/>
      <c r="AA132" s="1105">
        <f>IFERROR(IF(X132="",0,X132*Z49),"")</f>
        <v>0</v>
      </c>
      <c r="AB132" s="1105"/>
      <c r="AC132" s="122" t="str">
        <f t="shared" si="10"/>
        <v/>
      </c>
    </row>
    <row r="133" spans="1:29" x14ac:dyDescent="0.25">
      <c r="A133" s="194" t="str">
        <f t="shared" si="3"/>
        <v>F</v>
      </c>
      <c r="B133" s="194" t="str">
        <f t="shared" si="4"/>
        <v/>
      </c>
      <c r="C133" s="463" t="str">
        <f t="shared" si="4"/>
        <v/>
      </c>
      <c r="D133" s="194" t="str">
        <f t="shared" si="4"/>
        <v/>
      </c>
      <c r="E133" s="464" t="str">
        <f t="shared" si="4"/>
        <v/>
      </c>
      <c r="F133" s="125" t="str">
        <f t="shared" si="4"/>
        <v/>
      </c>
      <c r="G133" s="926" t="str">
        <f t="shared" si="6"/>
        <v/>
      </c>
      <c r="H133" s="926"/>
      <c r="I133" s="1105">
        <f>IFERROR(IF(F133="",0,F133*H49),"")</f>
        <v>0</v>
      </c>
      <c r="J133" s="1105"/>
      <c r="K133" s="122" t="str">
        <f t="shared" si="7"/>
        <v/>
      </c>
      <c r="S133" s="194" t="str">
        <f t="shared" si="5"/>
        <v>F</v>
      </c>
      <c r="T133" s="194" t="str">
        <f t="shared" ref="T133:X133" si="14">IF(T14="","",T14)</f>
        <v/>
      </c>
      <c r="U133" s="463" t="str">
        <f t="shared" si="14"/>
        <v/>
      </c>
      <c r="V133" s="194" t="str">
        <f t="shared" si="14"/>
        <v/>
      </c>
      <c r="W133" s="464" t="str">
        <f t="shared" si="14"/>
        <v/>
      </c>
      <c r="X133" s="125" t="str">
        <f t="shared" si="14"/>
        <v/>
      </c>
      <c r="Y133" s="926" t="str">
        <f t="shared" si="9"/>
        <v/>
      </c>
      <c r="Z133" s="926"/>
      <c r="AA133" s="1105">
        <f>IFERROR(IF(X133="",0,X133*Z49),"")</f>
        <v>0</v>
      </c>
      <c r="AB133" s="1105"/>
      <c r="AC133" s="122" t="str">
        <f t="shared" si="10"/>
        <v/>
      </c>
    </row>
    <row r="134" spans="1:29" x14ac:dyDescent="0.25">
      <c r="A134" s="194" t="str">
        <f t="shared" si="3"/>
        <v>G</v>
      </c>
      <c r="B134" s="194" t="str">
        <f t="shared" si="4"/>
        <v/>
      </c>
      <c r="C134" s="194" t="str">
        <f t="shared" si="4"/>
        <v/>
      </c>
      <c r="D134" s="194" t="str">
        <f t="shared" si="4"/>
        <v/>
      </c>
      <c r="E134" s="464" t="str">
        <f t="shared" si="4"/>
        <v/>
      </c>
      <c r="F134" s="125" t="str">
        <f t="shared" si="4"/>
        <v/>
      </c>
      <c r="G134" s="926" t="str">
        <f t="shared" si="6"/>
        <v/>
      </c>
      <c r="H134" s="926"/>
      <c r="I134" s="1105">
        <f>IFERROR(IF(F134="",0,F134*H49),"")</f>
        <v>0</v>
      </c>
      <c r="J134" s="1105"/>
      <c r="K134" s="122" t="str">
        <f t="shared" si="7"/>
        <v/>
      </c>
      <c r="S134" s="194" t="str">
        <f t="shared" si="5"/>
        <v>G</v>
      </c>
      <c r="T134" s="194" t="str">
        <f t="shared" ref="T134:X134" si="15">IF(T15="","",T15)</f>
        <v/>
      </c>
      <c r="U134" s="194" t="str">
        <f t="shared" si="15"/>
        <v/>
      </c>
      <c r="V134" s="194" t="str">
        <f t="shared" si="15"/>
        <v/>
      </c>
      <c r="W134" s="464" t="str">
        <f t="shared" si="15"/>
        <v/>
      </c>
      <c r="X134" s="125" t="str">
        <f t="shared" si="15"/>
        <v/>
      </c>
      <c r="Y134" s="926" t="str">
        <f t="shared" si="9"/>
        <v/>
      </c>
      <c r="Z134" s="926"/>
      <c r="AA134" s="1105">
        <f>IFERROR(IF(X134="",0,X134*Z49),"")</f>
        <v>0</v>
      </c>
      <c r="AB134" s="1105"/>
      <c r="AC134" s="122" t="str">
        <f t="shared" si="10"/>
        <v/>
      </c>
    </row>
    <row r="135" spans="1:29" x14ac:dyDescent="0.25">
      <c r="A135" s="194" t="str">
        <f t="shared" si="3"/>
        <v>H</v>
      </c>
      <c r="B135" s="194" t="str">
        <f t="shared" si="4"/>
        <v/>
      </c>
      <c r="C135" s="194" t="str">
        <f t="shared" si="4"/>
        <v/>
      </c>
      <c r="D135" s="194" t="str">
        <f t="shared" si="4"/>
        <v/>
      </c>
      <c r="E135" s="464" t="str">
        <f t="shared" si="4"/>
        <v/>
      </c>
      <c r="F135" s="125" t="str">
        <f t="shared" si="4"/>
        <v/>
      </c>
      <c r="G135" s="926" t="str">
        <f t="shared" si="6"/>
        <v/>
      </c>
      <c r="H135" s="926"/>
      <c r="I135" s="1105">
        <f>IFERROR(IF(F135="",0,F135*H49),"")</f>
        <v>0</v>
      </c>
      <c r="J135" s="1105"/>
      <c r="K135" s="122" t="str">
        <f t="shared" si="7"/>
        <v/>
      </c>
      <c r="S135" s="194" t="str">
        <f t="shared" si="5"/>
        <v>H</v>
      </c>
      <c r="T135" s="194" t="str">
        <f t="shared" ref="T135:X135" si="16">IF(T16="","",T16)</f>
        <v/>
      </c>
      <c r="U135" s="194" t="str">
        <f t="shared" si="16"/>
        <v/>
      </c>
      <c r="V135" s="194" t="str">
        <f t="shared" si="16"/>
        <v/>
      </c>
      <c r="W135" s="464" t="str">
        <f t="shared" si="16"/>
        <v/>
      </c>
      <c r="X135" s="125" t="str">
        <f t="shared" si="16"/>
        <v/>
      </c>
      <c r="Y135" s="926" t="str">
        <f t="shared" si="9"/>
        <v/>
      </c>
      <c r="Z135" s="926"/>
      <c r="AA135" s="1105">
        <f>IFERROR(IF(X135="",0,X135*Z49),"")</f>
        <v>0</v>
      </c>
      <c r="AB135" s="1105"/>
      <c r="AC135" s="122" t="str">
        <f t="shared" si="10"/>
        <v/>
      </c>
    </row>
    <row r="136" spans="1:29" x14ac:dyDescent="0.25">
      <c r="A136" s="194" t="str">
        <f t="shared" si="3"/>
        <v>I</v>
      </c>
      <c r="B136" s="194" t="str">
        <f t="shared" si="4"/>
        <v/>
      </c>
      <c r="C136" s="194" t="str">
        <f t="shared" si="4"/>
        <v/>
      </c>
      <c r="D136" s="194" t="str">
        <f t="shared" si="4"/>
        <v/>
      </c>
      <c r="E136" s="464" t="str">
        <f t="shared" si="4"/>
        <v/>
      </c>
      <c r="F136" s="125" t="str">
        <f t="shared" si="4"/>
        <v/>
      </c>
      <c r="G136" s="926" t="str">
        <f t="shared" si="6"/>
        <v/>
      </c>
      <c r="H136" s="926"/>
      <c r="I136" s="1105">
        <f>IFERROR(IF(F136="",0,F136*H49),"")</f>
        <v>0</v>
      </c>
      <c r="J136" s="1105"/>
      <c r="K136" s="122" t="str">
        <f>IFERROR(G136*I136,"")</f>
        <v/>
      </c>
      <c r="S136" s="194" t="str">
        <f t="shared" si="5"/>
        <v>I</v>
      </c>
      <c r="T136" s="194" t="str">
        <f t="shared" ref="T136:X136" si="17">IF(T17="","",T17)</f>
        <v/>
      </c>
      <c r="U136" s="194" t="str">
        <f t="shared" si="17"/>
        <v/>
      </c>
      <c r="V136" s="194" t="str">
        <f t="shared" si="17"/>
        <v/>
      </c>
      <c r="W136" s="464" t="str">
        <f t="shared" si="17"/>
        <v/>
      </c>
      <c r="X136" s="125" t="str">
        <f t="shared" si="17"/>
        <v/>
      </c>
      <c r="Y136" s="926" t="str">
        <f t="shared" si="9"/>
        <v/>
      </c>
      <c r="Z136" s="926"/>
      <c r="AA136" s="1105">
        <f>IFERROR(IF(X136="",0,X136*Z49),"")</f>
        <v>0</v>
      </c>
      <c r="AB136" s="1105"/>
      <c r="AC136" s="122" t="str">
        <f t="shared" si="10"/>
        <v/>
      </c>
    </row>
    <row r="137" spans="1:29" x14ac:dyDescent="0.25">
      <c r="A137" s="194" t="str">
        <f t="shared" si="3"/>
        <v>J</v>
      </c>
      <c r="B137" s="194" t="str">
        <f t="shared" si="4"/>
        <v/>
      </c>
      <c r="C137" s="194" t="str">
        <f t="shared" si="4"/>
        <v/>
      </c>
      <c r="D137" s="194" t="str">
        <f t="shared" si="4"/>
        <v/>
      </c>
      <c r="E137" s="464" t="str">
        <f t="shared" si="4"/>
        <v/>
      </c>
      <c r="F137" s="125" t="str">
        <f t="shared" si="4"/>
        <v/>
      </c>
      <c r="G137" s="926" t="str">
        <f t="shared" si="6"/>
        <v/>
      </c>
      <c r="H137" s="926"/>
      <c r="I137" s="1105">
        <f>IFERROR(IF(F137="",0,F137*H49),"")</f>
        <v>0</v>
      </c>
      <c r="J137" s="1105"/>
      <c r="K137" s="122" t="str">
        <f t="shared" si="7"/>
        <v/>
      </c>
      <c r="S137" s="194" t="str">
        <f t="shared" si="5"/>
        <v>J</v>
      </c>
      <c r="T137" s="194" t="str">
        <f t="shared" ref="T137:X137" si="18">IF(T18="","",T18)</f>
        <v/>
      </c>
      <c r="U137" s="194" t="str">
        <f t="shared" si="18"/>
        <v/>
      </c>
      <c r="V137" s="194" t="str">
        <f t="shared" si="18"/>
        <v/>
      </c>
      <c r="W137" s="464" t="str">
        <f t="shared" si="18"/>
        <v/>
      </c>
      <c r="X137" s="125" t="str">
        <f t="shared" si="18"/>
        <v/>
      </c>
      <c r="Y137" s="926" t="str">
        <f t="shared" si="9"/>
        <v/>
      </c>
      <c r="Z137" s="926"/>
      <c r="AA137" s="1105">
        <f>IFERROR(IF(X137="",0,X137*Z49),"")</f>
        <v>0</v>
      </c>
      <c r="AB137" s="1105"/>
      <c r="AC137" s="122" t="str">
        <f t="shared" si="10"/>
        <v/>
      </c>
    </row>
    <row r="138" spans="1:29" x14ac:dyDescent="0.25">
      <c r="A138" s="194" t="str">
        <f t="shared" si="3"/>
        <v>K</v>
      </c>
      <c r="B138" s="194" t="str">
        <f t="shared" ref="B138:F147" si="19">IF(B19="","",B19)</f>
        <v/>
      </c>
      <c r="C138" s="194" t="str">
        <f t="shared" si="19"/>
        <v/>
      </c>
      <c r="D138" s="194" t="str">
        <f t="shared" si="19"/>
        <v/>
      </c>
      <c r="E138" s="464" t="str">
        <f t="shared" si="19"/>
        <v/>
      </c>
      <c r="F138" s="125" t="str">
        <f t="shared" si="19"/>
        <v/>
      </c>
      <c r="G138" s="926" t="str">
        <f t="shared" si="6"/>
        <v/>
      </c>
      <c r="H138" s="926"/>
      <c r="I138" s="1105">
        <f>IFERROR(IF(F138="",0,F138*H49),"")</f>
        <v>0</v>
      </c>
      <c r="J138" s="1105"/>
      <c r="K138" s="122" t="str">
        <f t="shared" si="7"/>
        <v/>
      </c>
      <c r="S138" s="194" t="str">
        <f t="shared" si="5"/>
        <v>K</v>
      </c>
      <c r="T138" s="194" t="str">
        <f t="shared" ref="T138:X138" si="20">IF(T19="","",T19)</f>
        <v/>
      </c>
      <c r="U138" s="194" t="str">
        <f t="shared" si="20"/>
        <v/>
      </c>
      <c r="V138" s="194" t="str">
        <f t="shared" si="20"/>
        <v/>
      </c>
      <c r="W138" s="464" t="str">
        <f t="shared" si="20"/>
        <v/>
      </c>
      <c r="X138" s="125" t="str">
        <f t="shared" si="20"/>
        <v/>
      </c>
      <c r="Y138" s="926" t="str">
        <f t="shared" si="9"/>
        <v/>
      </c>
      <c r="Z138" s="926"/>
      <c r="AA138" s="1105">
        <f>IFERROR(IF(X138="",0,X138*Z49),"")</f>
        <v>0</v>
      </c>
      <c r="AB138" s="1105"/>
      <c r="AC138" s="122" t="str">
        <f t="shared" si="10"/>
        <v/>
      </c>
    </row>
    <row r="139" spans="1:29" x14ac:dyDescent="0.25">
      <c r="A139" s="194" t="str">
        <f t="shared" si="3"/>
        <v>L</v>
      </c>
      <c r="B139" s="194" t="str">
        <f t="shared" si="19"/>
        <v/>
      </c>
      <c r="C139" s="194" t="str">
        <f t="shared" si="19"/>
        <v/>
      </c>
      <c r="D139" s="194" t="str">
        <f t="shared" si="19"/>
        <v/>
      </c>
      <c r="E139" s="464" t="str">
        <f t="shared" si="19"/>
        <v/>
      </c>
      <c r="F139" s="125" t="str">
        <f t="shared" si="19"/>
        <v/>
      </c>
      <c r="G139" s="926" t="str">
        <f t="shared" si="6"/>
        <v/>
      </c>
      <c r="H139" s="926"/>
      <c r="I139" s="1105">
        <f>IFERROR(IF(F139="",0,F139*H49),"")</f>
        <v>0</v>
      </c>
      <c r="J139" s="1105"/>
      <c r="K139" s="122" t="str">
        <f t="shared" si="7"/>
        <v/>
      </c>
      <c r="S139" s="194" t="str">
        <f t="shared" si="5"/>
        <v>L</v>
      </c>
      <c r="T139" s="194" t="str">
        <f t="shared" ref="T139:X139" si="21">IF(T20="","",T20)</f>
        <v/>
      </c>
      <c r="U139" s="194" t="str">
        <f t="shared" si="21"/>
        <v/>
      </c>
      <c r="V139" s="194" t="str">
        <f t="shared" si="21"/>
        <v/>
      </c>
      <c r="W139" s="464" t="str">
        <f t="shared" si="21"/>
        <v/>
      </c>
      <c r="X139" s="125" t="str">
        <f t="shared" si="21"/>
        <v/>
      </c>
      <c r="Y139" s="926" t="str">
        <f t="shared" si="9"/>
        <v/>
      </c>
      <c r="Z139" s="926"/>
      <c r="AA139" s="1105">
        <f>IFERROR(IF(X139="",0,X139*Z49),"")</f>
        <v>0</v>
      </c>
      <c r="AB139" s="1105"/>
      <c r="AC139" s="122" t="str">
        <f t="shared" si="10"/>
        <v/>
      </c>
    </row>
    <row r="140" spans="1:29" x14ac:dyDescent="0.25">
      <c r="A140" s="194" t="str">
        <f t="shared" si="3"/>
        <v>M</v>
      </c>
      <c r="B140" s="194" t="str">
        <f t="shared" si="19"/>
        <v/>
      </c>
      <c r="C140" s="194" t="str">
        <f t="shared" si="19"/>
        <v/>
      </c>
      <c r="D140" s="194" t="str">
        <f t="shared" si="19"/>
        <v/>
      </c>
      <c r="E140" s="464" t="str">
        <f t="shared" si="19"/>
        <v/>
      </c>
      <c r="F140" s="125" t="str">
        <f t="shared" si="19"/>
        <v/>
      </c>
      <c r="G140" s="926" t="str">
        <f t="shared" si="6"/>
        <v/>
      </c>
      <c r="H140" s="926"/>
      <c r="I140" s="1105">
        <f>IFERROR(IF(F140="",0,F140*H49),"")</f>
        <v>0</v>
      </c>
      <c r="J140" s="1105"/>
      <c r="K140" s="122" t="str">
        <f t="shared" si="7"/>
        <v/>
      </c>
      <c r="S140" s="194" t="str">
        <f t="shared" si="5"/>
        <v>M</v>
      </c>
      <c r="T140" s="194" t="str">
        <f t="shared" ref="T140:X140" si="22">IF(T21="","",T21)</f>
        <v/>
      </c>
      <c r="U140" s="194" t="str">
        <f t="shared" si="22"/>
        <v/>
      </c>
      <c r="V140" s="194" t="str">
        <f t="shared" si="22"/>
        <v/>
      </c>
      <c r="W140" s="464" t="str">
        <f t="shared" si="22"/>
        <v/>
      </c>
      <c r="X140" s="125" t="str">
        <f t="shared" si="22"/>
        <v/>
      </c>
      <c r="Y140" s="926" t="str">
        <f t="shared" si="9"/>
        <v/>
      </c>
      <c r="Z140" s="926"/>
      <c r="AA140" s="1105">
        <f>IFERROR(IF(X140="",0,X140*Z49),"")</f>
        <v>0</v>
      </c>
      <c r="AB140" s="1105"/>
      <c r="AC140" s="122" t="str">
        <f t="shared" si="10"/>
        <v/>
      </c>
    </row>
    <row r="141" spans="1:29" x14ac:dyDescent="0.25">
      <c r="A141" s="194" t="str">
        <f t="shared" si="3"/>
        <v>N</v>
      </c>
      <c r="B141" s="194" t="str">
        <f t="shared" si="19"/>
        <v/>
      </c>
      <c r="C141" s="194" t="str">
        <f t="shared" si="19"/>
        <v/>
      </c>
      <c r="D141" s="194" t="str">
        <f t="shared" si="19"/>
        <v/>
      </c>
      <c r="E141" s="464" t="str">
        <f t="shared" si="19"/>
        <v/>
      </c>
      <c r="F141" s="125" t="str">
        <f t="shared" si="19"/>
        <v/>
      </c>
      <c r="G141" s="926" t="str">
        <f t="shared" si="6"/>
        <v/>
      </c>
      <c r="H141" s="926"/>
      <c r="I141" s="1105">
        <f>IFERROR(IF(F141="",0,F141*H49),"")</f>
        <v>0</v>
      </c>
      <c r="J141" s="1105"/>
      <c r="K141" s="122" t="str">
        <f t="shared" si="7"/>
        <v/>
      </c>
      <c r="S141" s="194" t="str">
        <f t="shared" si="5"/>
        <v>N</v>
      </c>
      <c r="T141" s="194" t="str">
        <f t="shared" ref="T141:X141" si="23">IF(T22="","",T22)</f>
        <v/>
      </c>
      <c r="U141" s="194" t="str">
        <f t="shared" si="23"/>
        <v/>
      </c>
      <c r="V141" s="194" t="str">
        <f t="shared" si="23"/>
        <v/>
      </c>
      <c r="W141" s="464" t="str">
        <f t="shared" si="23"/>
        <v/>
      </c>
      <c r="X141" s="125" t="str">
        <f t="shared" si="23"/>
        <v/>
      </c>
      <c r="Y141" s="926" t="str">
        <f t="shared" si="9"/>
        <v/>
      </c>
      <c r="Z141" s="926"/>
      <c r="AA141" s="1105">
        <f>IFERROR(IF(X141="",0,X141*Z49),"")</f>
        <v>0</v>
      </c>
      <c r="AB141" s="1105"/>
      <c r="AC141" s="122" t="str">
        <f t="shared" si="10"/>
        <v/>
      </c>
    </row>
    <row r="142" spans="1:29" x14ac:dyDescent="0.25">
      <c r="A142" s="194" t="str">
        <f t="shared" si="3"/>
        <v>O</v>
      </c>
      <c r="B142" s="194" t="str">
        <f t="shared" si="19"/>
        <v/>
      </c>
      <c r="C142" s="194" t="str">
        <f t="shared" si="19"/>
        <v/>
      </c>
      <c r="D142" s="194" t="str">
        <f t="shared" si="19"/>
        <v/>
      </c>
      <c r="E142" s="464" t="str">
        <f t="shared" si="19"/>
        <v/>
      </c>
      <c r="F142" s="125" t="str">
        <f t="shared" si="19"/>
        <v/>
      </c>
      <c r="G142" s="926" t="str">
        <f t="shared" si="6"/>
        <v/>
      </c>
      <c r="H142" s="926"/>
      <c r="I142" s="1105">
        <f>IFERROR(IF(F142="",0,F142*H49),"")</f>
        <v>0</v>
      </c>
      <c r="J142" s="1105"/>
      <c r="K142" s="122" t="str">
        <f t="shared" si="7"/>
        <v/>
      </c>
      <c r="S142" s="194" t="str">
        <f t="shared" si="5"/>
        <v>O</v>
      </c>
      <c r="T142" s="194" t="str">
        <f t="shared" ref="T142:X142" si="24">IF(T23="","",T23)</f>
        <v/>
      </c>
      <c r="U142" s="194" t="str">
        <f t="shared" si="24"/>
        <v/>
      </c>
      <c r="V142" s="194" t="str">
        <f t="shared" si="24"/>
        <v/>
      </c>
      <c r="W142" s="464" t="str">
        <f t="shared" si="24"/>
        <v/>
      </c>
      <c r="X142" s="125" t="str">
        <f t="shared" si="24"/>
        <v/>
      </c>
      <c r="Y142" s="926" t="str">
        <f t="shared" si="9"/>
        <v/>
      </c>
      <c r="Z142" s="926"/>
      <c r="AA142" s="1105">
        <f>IFERROR(IF(X142="",0,X142*Z49),"")</f>
        <v>0</v>
      </c>
      <c r="AB142" s="1105"/>
      <c r="AC142" s="122" t="str">
        <f t="shared" si="10"/>
        <v/>
      </c>
    </row>
    <row r="143" spans="1:29" x14ac:dyDescent="0.25">
      <c r="A143" s="194" t="str">
        <f t="shared" si="3"/>
        <v>P</v>
      </c>
      <c r="B143" s="194" t="str">
        <f t="shared" si="19"/>
        <v/>
      </c>
      <c r="C143" s="194" t="str">
        <f t="shared" si="19"/>
        <v/>
      </c>
      <c r="D143" s="194" t="str">
        <f t="shared" si="19"/>
        <v/>
      </c>
      <c r="E143" s="464" t="str">
        <f t="shared" si="19"/>
        <v/>
      </c>
      <c r="F143" s="125" t="str">
        <f t="shared" si="19"/>
        <v/>
      </c>
      <c r="G143" s="926" t="str">
        <f t="shared" si="6"/>
        <v/>
      </c>
      <c r="H143" s="926"/>
      <c r="I143" s="1105">
        <f>IFERROR(IF(F143="",0,F143*H49),"")</f>
        <v>0</v>
      </c>
      <c r="J143" s="1105"/>
      <c r="K143" s="122" t="str">
        <f t="shared" si="7"/>
        <v/>
      </c>
      <c r="S143" s="194" t="str">
        <f t="shared" si="5"/>
        <v>P</v>
      </c>
      <c r="T143" s="194" t="str">
        <f t="shared" ref="T143:X143" si="25">IF(T24="","",T24)</f>
        <v/>
      </c>
      <c r="U143" s="194" t="str">
        <f t="shared" si="25"/>
        <v/>
      </c>
      <c r="V143" s="194" t="str">
        <f t="shared" si="25"/>
        <v/>
      </c>
      <c r="W143" s="464" t="str">
        <f t="shared" si="25"/>
        <v/>
      </c>
      <c r="X143" s="125" t="str">
        <f t="shared" si="25"/>
        <v/>
      </c>
      <c r="Y143" s="926" t="str">
        <f t="shared" si="9"/>
        <v/>
      </c>
      <c r="Z143" s="926"/>
      <c r="AA143" s="1105">
        <f>IFERROR(IF(X143="",0,X143*Z49),"")</f>
        <v>0</v>
      </c>
      <c r="AB143" s="1105"/>
      <c r="AC143" s="122" t="str">
        <f t="shared" si="10"/>
        <v/>
      </c>
    </row>
    <row r="144" spans="1:29" x14ac:dyDescent="0.25">
      <c r="A144" s="194" t="str">
        <f t="shared" si="3"/>
        <v>Q</v>
      </c>
      <c r="B144" s="194" t="str">
        <f t="shared" si="19"/>
        <v/>
      </c>
      <c r="C144" s="194" t="str">
        <f t="shared" si="19"/>
        <v/>
      </c>
      <c r="D144" s="194" t="str">
        <f t="shared" si="19"/>
        <v/>
      </c>
      <c r="E144" s="464" t="str">
        <f t="shared" si="19"/>
        <v/>
      </c>
      <c r="F144" s="125" t="str">
        <f t="shared" si="19"/>
        <v/>
      </c>
      <c r="G144" s="926" t="str">
        <f t="shared" si="6"/>
        <v/>
      </c>
      <c r="H144" s="926"/>
      <c r="I144" s="1105">
        <f>IFERROR(IF(F144="",0,F144*H49),"")</f>
        <v>0</v>
      </c>
      <c r="J144" s="1105"/>
      <c r="K144" s="122" t="str">
        <f t="shared" si="7"/>
        <v/>
      </c>
      <c r="S144" s="194" t="str">
        <f t="shared" si="5"/>
        <v>Q</v>
      </c>
      <c r="T144" s="194" t="str">
        <f t="shared" ref="T144:X144" si="26">IF(T25="","",T25)</f>
        <v/>
      </c>
      <c r="U144" s="194" t="str">
        <f t="shared" si="26"/>
        <v/>
      </c>
      <c r="V144" s="194" t="str">
        <f t="shared" si="26"/>
        <v/>
      </c>
      <c r="W144" s="464" t="str">
        <f t="shared" si="26"/>
        <v/>
      </c>
      <c r="X144" s="125" t="str">
        <f t="shared" si="26"/>
        <v/>
      </c>
      <c r="Y144" s="926" t="str">
        <f t="shared" si="9"/>
        <v/>
      </c>
      <c r="Z144" s="926"/>
      <c r="AA144" s="1105">
        <f>IFERROR(IF(X144="",0,X144*Z49),"")</f>
        <v>0</v>
      </c>
      <c r="AB144" s="1105"/>
      <c r="AC144" s="122" t="str">
        <f t="shared" si="10"/>
        <v/>
      </c>
    </row>
    <row r="145" spans="1:29" x14ac:dyDescent="0.25">
      <c r="A145" s="194" t="str">
        <f t="shared" si="3"/>
        <v>R</v>
      </c>
      <c r="B145" s="194" t="str">
        <f t="shared" si="19"/>
        <v/>
      </c>
      <c r="C145" s="194" t="str">
        <f t="shared" si="19"/>
        <v/>
      </c>
      <c r="D145" s="194" t="str">
        <f t="shared" si="19"/>
        <v/>
      </c>
      <c r="E145" s="464" t="str">
        <f t="shared" si="19"/>
        <v/>
      </c>
      <c r="F145" s="125" t="str">
        <f t="shared" si="19"/>
        <v/>
      </c>
      <c r="G145" s="926" t="str">
        <f t="shared" si="6"/>
        <v/>
      </c>
      <c r="H145" s="926"/>
      <c r="I145" s="1105">
        <f>IFERROR(IF(F145="",0,F145*H49),"")</f>
        <v>0</v>
      </c>
      <c r="J145" s="1105"/>
      <c r="K145" s="122" t="str">
        <f t="shared" si="7"/>
        <v/>
      </c>
      <c r="S145" s="194" t="str">
        <f t="shared" si="5"/>
        <v>R</v>
      </c>
      <c r="T145" s="194" t="str">
        <f t="shared" ref="T145:X145" si="27">IF(T26="","",T26)</f>
        <v/>
      </c>
      <c r="U145" s="194" t="str">
        <f t="shared" si="27"/>
        <v/>
      </c>
      <c r="V145" s="194" t="str">
        <f t="shared" si="27"/>
        <v/>
      </c>
      <c r="W145" s="464" t="str">
        <f t="shared" si="27"/>
        <v/>
      </c>
      <c r="X145" s="125" t="str">
        <f t="shared" si="27"/>
        <v/>
      </c>
      <c r="Y145" s="926" t="str">
        <f t="shared" si="9"/>
        <v/>
      </c>
      <c r="Z145" s="926"/>
      <c r="AA145" s="1105">
        <f>IFERROR(IF(X145="",0,X145*Z49),"")</f>
        <v>0</v>
      </c>
      <c r="AB145" s="1105"/>
      <c r="AC145" s="122" t="str">
        <f t="shared" si="10"/>
        <v/>
      </c>
    </row>
    <row r="146" spans="1:29" x14ac:dyDescent="0.25">
      <c r="A146" s="194" t="str">
        <f t="shared" si="3"/>
        <v>S</v>
      </c>
      <c r="B146" s="194" t="str">
        <f t="shared" si="19"/>
        <v/>
      </c>
      <c r="C146" s="194" t="str">
        <f t="shared" si="19"/>
        <v/>
      </c>
      <c r="D146" s="194" t="str">
        <f t="shared" si="19"/>
        <v/>
      </c>
      <c r="E146" s="464" t="str">
        <f t="shared" si="19"/>
        <v/>
      </c>
      <c r="F146" s="125" t="str">
        <f t="shared" si="19"/>
        <v/>
      </c>
      <c r="G146" s="926" t="str">
        <f t="shared" si="6"/>
        <v/>
      </c>
      <c r="H146" s="926"/>
      <c r="I146" s="1105">
        <f>IFERROR(IF(F146="",0,F146*H49),"")</f>
        <v>0</v>
      </c>
      <c r="J146" s="1105"/>
      <c r="K146" s="122" t="str">
        <f t="shared" si="7"/>
        <v/>
      </c>
      <c r="S146" s="194" t="str">
        <f t="shared" si="5"/>
        <v>S</v>
      </c>
      <c r="T146" s="194" t="str">
        <f t="shared" ref="T146:X146" si="28">IF(T27="","",T27)</f>
        <v/>
      </c>
      <c r="U146" s="194" t="str">
        <f t="shared" si="28"/>
        <v/>
      </c>
      <c r="V146" s="194" t="str">
        <f t="shared" si="28"/>
        <v/>
      </c>
      <c r="W146" s="464" t="str">
        <f t="shared" si="28"/>
        <v/>
      </c>
      <c r="X146" s="125" t="str">
        <f t="shared" si="28"/>
        <v/>
      </c>
      <c r="Y146" s="926" t="str">
        <f t="shared" si="9"/>
        <v/>
      </c>
      <c r="Z146" s="926"/>
      <c r="AA146" s="1105">
        <f>IFERROR(IF(X146="",0,X146*Z49),"")</f>
        <v>0</v>
      </c>
      <c r="AB146" s="1105"/>
      <c r="AC146" s="122" t="str">
        <f t="shared" si="10"/>
        <v/>
      </c>
    </row>
    <row r="147" spans="1:29" x14ac:dyDescent="0.25">
      <c r="A147" s="194" t="str">
        <f t="shared" si="3"/>
        <v>T</v>
      </c>
      <c r="B147" s="194" t="str">
        <f t="shared" si="19"/>
        <v/>
      </c>
      <c r="C147" s="194" t="str">
        <f t="shared" si="19"/>
        <v/>
      </c>
      <c r="D147" s="194" t="str">
        <f t="shared" si="19"/>
        <v/>
      </c>
      <c r="E147" s="464" t="str">
        <f t="shared" si="19"/>
        <v/>
      </c>
      <c r="F147" s="125" t="str">
        <f t="shared" si="19"/>
        <v/>
      </c>
      <c r="G147" s="926" t="str">
        <f t="shared" si="6"/>
        <v/>
      </c>
      <c r="H147" s="926"/>
      <c r="I147" s="1105">
        <f>IFERROR(IF(F147="",0,F147*H49),"")</f>
        <v>0</v>
      </c>
      <c r="J147" s="1105"/>
      <c r="K147" s="122" t="str">
        <f t="shared" si="7"/>
        <v/>
      </c>
      <c r="S147" s="194" t="str">
        <f t="shared" si="5"/>
        <v>T</v>
      </c>
      <c r="T147" s="194" t="str">
        <f t="shared" ref="T147:X147" si="29">IF(T28="","",T28)</f>
        <v/>
      </c>
      <c r="U147" s="194" t="str">
        <f t="shared" si="29"/>
        <v/>
      </c>
      <c r="V147" s="194" t="str">
        <f t="shared" si="29"/>
        <v/>
      </c>
      <c r="W147" s="464" t="str">
        <f t="shared" si="29"/>
        <v/>
      </c>
      <c r="X147" s="125" t="str">
        <f t="shared" si="29"/>
        <v/>
      </c>
      <c r="Y147" s="926" t="str">
        <f t="shared" si="9"/>
        <v/>
      </c>
      <c r="Z147" s="926"/>
      <c r="AA147" s="1105">
        <f>IFERROR(IF(X147="",0,X147*Z49),"")</f>
        <v>0</v>
      </c>
      <c r="AB147" s="1105"/>
      <c r="AC147" s="122" t="str">
        <f t="shared" si="10"/>
        <v/>
      </c>
    </row>
    <row r="148" spans="1:29" x14ac:dyDescent="0.25">
      <c r="A148" s="194" t="str">
        <f t="shared" si="3"/>
        <v>U</v>
      </c>
      <c r="B148" s="194" t="str">
        <f t="shared" ref="B148:F153" si="30">IF(B29="","",B29)</f>
        <v/>
      </c>
      <c r="C148" s="194" t="str">
        <f t="shared" si="30"/>
        <v/>
      </c>
      <c r="D148" s="194" t="str">
        <f t="shared" si="30"/>
        <v/>
      </c>
      <c r="E148" s="464" t="str">
        <f t="shared" si="30"/>
        <v/>
      </c>
      <c r="F148" s="125" t="str">
        <f t="shared" si="30"/>
        <v/>
      </c>
      <c r="G148" s="926" t="str">
        <f t="shared" si="6"/>
        <v/>
      </c>
      <c r="H148" s="926"/>
      <c r="I148" s="1105">
        <f>IFERROR(IF(F148="",0,F148*H49),"")</f>
        <v>0</v>
      </c>
      <c r="J148" s="1105"/>
      <c r="K148" s="122" t="str">
        <f t="shared" si="7"/>
        <v/>
      </c>
      <c r="S148" s="194" t="str">
        <f t="shared" si="5"/>
        <v>U</v>
      </c>
      <c r="T148" s="194" t="str">
        <f t="shared" ref="T148:X148" si="31">IF(T29="","",T29)</f>
        <v/>
      </c>
      <c r="U148" s="194" t="str">
        <f t="shared" si="31"/>
        <v/>
      </c>
      <c r="V148" s="194" t="str">
        <f t="shared" si="31"/>
        <v/>
      </c>
      <c r="W148" s="464" t="str">
        <f t="shared" si="31"/>
        <v/>
      </c>
      <c r="X148" s="125" t="str">
        <f t="shared" si="31"/>
        <v/>
      </c>
      <c r="Y148" s="926" t="str">
        <f t="shared" si="9"/>
        <v/>
      </c>
      <c r="Z148" s="926"/>
      <c r="AA148" s="1105">
        <f>IFERROR(IF(X148="",0,X148*Z49),"")</f>
        <v>0</v>
      </c>
      <c r="AB148" s="1105"/>
      <c r="AC148" s="122" t="str">
        <f t="shared" si="10"/>
        <v/>
      </c>
    </row>
    <row r="149" spans="1:29" x14ac:dyDescent="0.25">
      <c r="A149" s="194" t="str">
        <f t="shared" si="3"/>
        <v>V</v>
      </c>
      <c r="B149" s="194" t="str">
        <f t="shared" si="30"/>
        <v/>
      </c>
      <c r="C149" s="194" t="str">
        <f t="shared" si="30"/>
        <v/>
      </c>
      <c r="D149" s="194" t="str">
        <f t="shared" si="30"/>
        <v/>
      </c>
      <c r="E149" s="464" t="str">
        <f t="shared" si="30"/>
        <v/>
      </c>
      <c r="F149" s="125" t="str">
        <f t="shared" si="30"/>
        <v/>
      </c>
      <c r="G149" s="926" t="str">
        <f t="shared" si="6"/>
        <v/>
      </c>
      <c r="H149" s="926"/>
      <c r="I149" s="1105">
        <f>IFERROR(IF(F149="",0,F149*H49),"")</f>
        <v>0</v>
      </c>
      <c r="J149" s="1105"/>
      <c r="K149" s="122" t="str">
        <f t="shared" si="7"/>
        <v/>
      </c>
      <c r="S149" s="194" t="str">
        <f t="shared" si="5"/>
        <v>V</v>
      </c>
      <c r="T149" s="194" t="str">
        <f t="shared" ref="T149:X149" si="32">IF(T30="","",T30)</f>
        <v/>
      </c>
      <c r="U149" s="194" t="str">
        <f t="shared" si="32"/>
        <v/>
      </c>
      <c r="V149" s="194" t="str">
        <f t="shared" si="32"/>
        <v/>
      </c>
      <c r="W149" s="464" t="str">
        <f t="shared" si="32"/>
        <v/>
      </c>
      <c r="X149" s="125" t="str">
        <f t="shared" si="32"/>
        <v/>
      </c>
      <c r="Y149" s="926" t="str">
        <f t="shared" si="9"/>
        <v/>
      </c>
      <c r="Z149" s="926"/>
      <c r="AA149" s="1105">
        <f>IFERROR(IF(X149="",0,X149*Z49),"")</f>
        <v>0</v>
      </c>
      <c r="AB149" s="1105"/>
      <c r="AC149" s="122" t="str">
        <f t="shared" si="10"/>
        <v/>
      </c>
    </row>
    <row r="150" spans="1:29" x14ac:dyDescent="0.25">
      <c r="A150" s="194" t="str">
        <f t="shared" si="3"/>
        <v>W</v>
      </c>
      <c r="B150" s="194" t="str">
        <f t="shared" si="30"/>
        <v/>
      </c>
      <c r="C150" s="194" t="str">
        <f t="shared" si="30"/>
        <v/>
      </c>
      <c r="D150" s="194" t="str">
        <f t="shared" si="30"/>
        <v/>
      </c>
      <c r="E150" s="464" t="str">
        <f t="shared" si="30"/>
        <v/>
      </c>
      <c r="F150" s="125" t="str">
        <f t="shared" si="30"/>
        <v/>
      </c>
      <c r="G150" s="926" t="str">
        <f t="shared" si="6"/>
        <v/>
      </c>
      <c r="H150" s="926"/>
      <c r="I150" s="1105">
        <f>IFERROR(IF(F150="",0,F150*H49),"")</f>
        <v>0</v>
      </c>
      <c r="J150" s="1105"/>
      <c r="K150" s="122" t="str">
        <f t="shared" si="7"/>
        <v/>
      </c>
      <c r="S150" s="194" t="str">
        <f t="shared" si="5"/>
        <v>W</v>
      </c>
      <c r="T150" s="194" t="str">
        <f t="shared" ref="T150:X150" si="33">IF(T31="","",T31)</f>
        <v/>
      </c>
      <c r="U150" s="194" t="str">
        <f t="shared" si="33"/>
        <v/>
      </c>
      <c r="V150" s="194" t="str">
        <f t="shared" si="33"/>
        <v/>
      </c>
      <c r="W150" s="464" t="str">
        <f t="shared" si="33"/>
        <v/>
      </c>
      <c r="X150" s="125" t="str">
        <f t="shared" si="33"/>
        <v/>
      </c>
      <c r="Y150" s="926" t="str">
        <f t="shared" si="9"/>
        <v/>
      </c>
      <c r="Z150" s="926"/>
      <c r="AA150" s="1105">
        <f>IFERROR(IF(X150="",0,X150*Z49),"")</f>
        <v>0</v>
      </c>
      <c r="AB150" s="1105"/>
      <c r="AC150" s="122" t="str">
        <f t="shared" si="10"/>
        <v/>
      </c>
    </row>
    <row r="151" spans="1:29" x14ac:dyDescent="0.25">
      <c r="A151" s="194" t="str">
        <f t="shared" si="3"/>
        <v>X</v>
      </c>
      <c r="B151" s="194" t="str">
        <f t="shared" si="30"/>
        <v/>
      </c>
      <c r="C151" s="194" t="str">
        <f t="shared" si="30"/>
        <v/>
      </c>
      <c r="D151" s="194" t="str">
        <f t="shared" si="30"/>
        <v/>
      </c>
      <c r="E151" s="464" t="str">
        <f t="shared" si="30"/>
        <v/>
      </c>
      <c r="F151" s="125" t="str">
        <f t="shared" si="30"/>
        <v/>
      </c>
      <c r="G151" s="926" t="str">
        <f t="shared" si="6"/>
        <v/>
      </c>
      <c r="H151" s="926"/>
      <c r="I151" s="1105">
        <f>IFERROR(IF(F151="",0,F151*H49),"")</f>
        <v>0</v>
      </c>
      <c r="J151" s="1105"/>
      <c r="K151" s="122" t="str">
        <f t="shared" si="7"/>
        <v/>
      </c>
      <c r="S151" s="194" t="str">
        <f t="shared" si="5"/>
        <v>X</v>
      </c>
      <c r="T151" s="194" t="str">
        <f t="shared" ref="T151:X151" si="34">IF(T32="","",T32)</f>
        <v/>
      </c>
      <c r="U151" s="194" t="str">
        <f t="shared" si="34"/>
        <v/>
      </c>
      <c r="V151" s="194" t="str">
        <f t="shared" si="34"/>
        <v/>
      </c>
      <c r="W151" s="464" t="str">
        <f t="shared" si="34"/>
        <v/>
      </c>
      <c r="X151" s="125" t="str">
        <f t="shared" si="34"/>
        <v/>
      </c>
      <c r="Y151" s="926" t="str">
        <f t="shared" si="9"/>
        <v/>
      </c>
      <c r="Z151" s="926"/>
      <c r="AA151" s="1105">
        <f>IFERROR(IF(X151="",0,X151*Z49),"")</f>
        <v>0</v>
      </c>
      <c r="AB151" s="1105"/>
      <c r="AC151" s="122" t="str">
        <f t="shared" si="10"/>
        <v/>
      </c>
    </row>
    <row r="152" spans="1:29" x14ac:dyDescent="0.25">
      <c r="A152" s="194" t="str">
        <f t="shared" si="3"/>
        <v>Y</v>
      </c>
      <c r="B152" s="194" t="str">
        <f t="shared" si="30"/>
        <v/>
      </c>
      <c r="C152" s="194" t="str">
        <f t="shared" si="30"/>
        <v/>
      </c>
      <c r="D152" s="194" t="str">
        <f t="shared" si="30"/>
        <v/>
      </c>
      <c r="E152" s="464" t="str">
        <f t="shared" si="30"/>
        <v/>
      </c>
      <c r="F152" s="125" t="str">
        <f t="shared" si="30"/>
        <v/>
      </c>
      <c r="G152" s="926" t="str">
        <f t="shared" si="6"/>
        <v/>
      </c>
      <c r="H152" s="926"/>
      <c r="I152" s="1105">
        <f>IFERROR(IF(F152="",0,F152*H49),"")</f>
        <v>0</v>
      </c>
      <c r="J152" s="1105"/>
      <c r="K152" s="122" t="str">
        <f t="shared" si="7"/>
        <v/>
      </c>
      <c r="S152" s="194" t="str">
        <f t="shared" si="5"/>
        <v>Y</v>
      </c>
      <c r="T152" s="194" t="str">
        <f t="shared" ref="T152:X152" si="35">IF(T33="","",T33)</f>
        <v/>
      </c>
      <c r="U152" s="194" t="str">
        <f t="shared" si="35"/>
        <v/>
      </c>
      <c r="V152" s="194" t="str">
        <f t="shared" si="35"/>
        <v/>
      </c>
      <c r="W152" s="464" t="str">
        <f t="shared" si="35"/>
        <v/>
      </c>
      <c r="X152" s="125" t="str">
        <f t="shared" si="35"/>
        <v/>
      </c>
      <c r="Y152" s="926" t="str">
        <f t="shared" si="9"/>
        <v/>
      </c>
      <c r="Z152" s="926"/>
      <c r="AA152" s="1105">
        <f>IFERROR(IF(X152="",0,X152*Z49),"")</f>
        <v>0</v>
      </c>
      <c r="AB152" s="1105"/>
      <c r="AC152" s="122" t="str">
        <f t="shared" si="10"/>
        <v/>
      </c>
    </row>
    <row r="153" spans="1:29" x14ac:dyDescent="0.25">
      <c r="A153" s="194" t="str">
        <f t="shared" si="3"/>
        <v>Z</v>
      </c>
      <c r="B153" s="194" t="str">
        <f t="shared" si="30"/>
        <v/>
      </c>
      <c r="C153" s="194" t="str">
        <f t="shared" si="30"/>
        <v/>
      </c>
      <c r="D153" s="194" t="str">
        <f t="shared" si="30"/>
        <v/>
      </c>
      <c r="E153" s="464" t="str">
        <f t="shared" si="30"/>
        <v/>
      </c>
      <c r="F153" s="125" t="str">
        <f t="shared" si="30"/>
        <v/>
      </c>
      <c r="G153" s="926" t="str">
        <f t="shared" si="6"/>
        <v/>
      </c>
      <c r="H153" s="926"/>
      <c r="I153" s="1105">
        <f>IFERROR(IF(F153="",0,F153*H49),"")</f>
        <v>0</v>
      </c>
      <c r="J153" s="1105"/>
      <c r="K153" s="122" t="str">
        <f>IFERROR(G153*I153,"")</f>
        <v/>
      </c>
      <c r="S153" s="194" t="str">
        <f t="shared" si="5"/>
        <v>Z</v>
      </c>
      <c r="T153" s="194" t="str">
        <f t="shared" ref="T153:X153" si="36">IF(T34="","",T34)</f>
        <v/>
      </c>
      <c r="U153" s="194" t="str">
        <f t="shared" si="36"/>
        <v/>
      </c>
      <c r="V153" s="194" t="str">
        <f t="shared" si="36"/>
        <v/>
      </c>
      <c r="W153" s="464" t="str">
        <f t="shared" si="36"/>
        <v/>
      </c>
      <c r="X153" s="125" t="str">
        <f t="shared" si="36"/>
        <v/>
      </c>
      <c r="Y153" s="926" t="str">
        <f t="shared" si="9"/>
        <v/>
      </c>
      <c r="Z153" s="926"/>
      <c r="AA153" s="1105">
        <f>IFERROR(IF(X153="",0,X153*Z49),"")</f>
        <v>0</v>
      </c>
      <c r="AB153" s="1105"/>
      <c r="AC153" s="122" t="str">
        <f t="shared" si="10"/>
        <v/>
      </c>
    </row>
    <row r="154" spans="1:29" x14ac:dyDescent="0.25">
      <c r="B154" s="878" t="s">
        <v>814</v>
      </c>
      <c r="C154" s="878"/>
      <c r="D154" s="878"/>
      <c r="E154" s="878"/>
      <c r="F154" s="878"/>
      <c r="G154" s="878"/>
      <c r="H154" s="878"/>
      <c r="I154" s="878"/>
      <c r="J154" s="878"/>
      <c r="K154" s="465">
        <f>SUM(K128:K153)</f>
        <v>0</v>
      </c>
      <c r="T154" s="878" t="s">
        <v>988</v>
      </c>
      <c r="U154" s="878"/>
      <c r="V154" s="878"/>
      <c r="W154" s="878"/>
      <c r="X154" s="878"/>
      <c r="Y154" s="878"/>
      <c r="Z154" s="878"/>
      <c r="AA154" s="878"/>
      <c r="AB154" s="878"/>
      <c r="AC154" s="465">
        <f>SUM(AC128:AC153)</f>
        <v>0</v>
      </c>
    </row>
    <row r="155" spans="1:29" x14ac:dyDescent="0.25">
      <c r="B155" s="878" t="s">
        <v>815</v>
      </c>
      <c r="C155" s="878"/>
      <c r="D155" s="878"/>
      <c r="E155" s="878"/>
      <c r="F155" s="878"/>
      <c r="G155" s="878"/>
      <c r="H155" s="878"/>
      <c r="I155" s="878"/>
      <c r="J155" s="878"/>
      <c r="K155" s="122">
        <f>IF(I53="Yes",C52,0)</f>
        <v>0</v>
      </c>
      <c r="T155" s="878" t="s">
        <v>998</v>
      </c>
      <c r="U155" s="878"/>
      <c r="V155" s="878"/>
      <c r="W155" s="878"/>
      <c r="X155" s="878"/>
      <c r="Y155" s="878"/>
      <c r="Z155" s="878"/>
      <c r="AA155" s="878"/>
      <c r="AB155" s="878"/>
      <c r="AC155" s="122">
        <f>IF(AA53="Yes",U52,0)</f>
        <v>0</v>
      </c>
    </row>
    <row r="156" spans="1:29" ht="15.75" x14ac:dyDescent="0.25">
      <c r="B156" s="674" t="s">
        <v>816</v>
      </c>
      <c r="C156" s="674"/>
      <c r="D156" s="674"/>
      <c r="E156" s="674"/>
      <c r="F156" s="674"/>
      <c r="G156" s="674"/>
      <c r="H156" s="674"/>
      <c r="I156" s="674"/>
      <c r="J156" s="674"/>
      <c r="K156" s="466">
        <f>SUM(K154:K155)</f>
        <v>0</v>
      </c>
      <c r="T156" s="674" t="s">
        <v>989</v>
      </c>
      <c r="U156" s="674"/>
      <c r="V156" s="674"/>
      <c r="W156" s="674"/>
      <c r="X156" s="674"/>
      <c r="Y156" s="674"/>
      <c r="Z156" s="674"/>
      <c r="AA156" s="674"/>
      <c r="AB156" s="674"/>
      <c r="AC156" s="466">
        <f>SUM(AC154:AC155)</f>
        <v>0</v>
      </c>
    </row>
    <row r="158" spans="1:29" ht="18.75" x14ac:dyDescent="0.3">
      <c r="A158" s="805" t="s">
        <v>994</v>
      </c>
      <c r="B158" s="805"/>
      <c r="C158" s="805"/>
      <c r="D158" s="805"/>
      <c r="E158" s="805"/>
      <c r="F158" s="805"/>
      <c r="G158" s="805"/>
      <c r="H158" s="805"/>
      <c r="I158" s="805"/>
      <c r="J158" s="805"/>
      <c r="K158" s="805"/>
      <c r="S158" s="805" t="s">
        <v>995</v>
      </c>
      <c r="T158" s="805"/>
      <c r="U158" s="805"/>
      <c r="V158" s="805"/>
      <c r="W158" s="805"/>
      <c r="X158" s="805"/>
      <c r="Y158" s="805"/>
      <c r="Z158" s="805"/>
      <c r="AA158" s="805"/>
      <c r="AB158" s="805"/>
      <c r="AC158" s="805"/>
    </row>
    <row r="159" spans="1:29" x14ac:dyDescent="0.25">
      <c r="C159" s="433" t="s">
        <v>846</v>
      </c>
      <c r="D159" s="655" t="s">
        <v>40</v>
      </c>
      <c r="E159" s="655"/>
      <c r="F159" s="655" t="s">
        <v>818</v>
      </c>
      <c r="G159" s="655"/>
      <c r="H159" s="655"/>
      <c r="I159" s="655" t="s">
        <v>819</v>
      </c>
      <c r="J159" s="655"/>
      <c r="U159" s="433" t="s">
        <v>1000</v>
      </c>
      <c r="V159" s="655" t="s">
        <v>40</v>
      </c>
      <c r="W159" s="655"/>
      <c r="X159" s="655" t="s">
        <v>818</v>
      </c>
      <c r="Y159" s="655"/>
      <c r="Z159" s="655"/>
      <c r="AA159" s="655" t="s">
        <v>819</v>
      </c>
      <c r="AB159" s="655"/>
    </row>
    <row r="160" spans="1:29" x14ac:dyDescent="0.25">
      <c r="C160" s="462">
        <f>SUMIF(D128:D153,D160,G128:H153)</f>
        <v>0</v>
      </c>
      <c r="D160" s="926" t="s">
        <v>57</v>
      </c>
      <c r="E160" s="926"/>
      <c r="F160" s="1099" cm="1">
        <f t="array" aca="1" ref="F160" ca="1">IF($B$4=(INDIRECT("'"&amp;$C$46&amp;"'!$C$64")),INDIRECT("'"&amp;$C$46&amp;"'!$C$65"),INDIRECT("'"&amp;$C$46&amp;"'!$B$65"))</f>
        <v>191973.6</v>
      </c>
      <c r="G160" s="1099"/>
      <c r="H160" s="1099"/>
      <c r="I160" s="1099">
        <f ca="1">C160*F160</f>
        <v>0</v>
      </c>
      <c r="J160" s="1099"/>
      <c r="U160" s="462">
        <f>SUMIF(V128:V153,V160,Y128:Z153)</f>
        <v>0</v>
      </c>
      <c r="V160" s="926" t="s">
        <v>57</v>
      </c>
      <c r="W160" s="926"/>
      <c r="X160" s="1099" cm="1">
        <f t="array" aca="1" ref="X160" ca="1">IF($T$4=(INDIRECT("'"&amp;$U$46&amp;"'!$C$64")),INDIRECT("'"&amp;$U$46&amp;"'!$C$65"),INDIRECT("'"&amp;$U$46&amp;"'!$B$65"))</f>
        <v>191973.6</v>
      </c>
      <c r="Y160" s="1099"/>
      <c r="Z160" s="1099"/>
      <c r="AA160" s="1099">
        <f ca="1">U160*X160</f>
        <v>0</v>
      </c>
      <c r="AB160" s="1099"/>
    </row>
    <row r="161" spans="1:29" x14ac:dyDescent="0.25">
      <c r="C161" s="462">
        <f>SUMIF(D128:D153,D161,G128:H153)</f>
        <v>0</v>
      </c>
      <c r="D161" s="926">
        <v>1</v>
      </c>
      <c r="E161" s="926"/>
      <c r="F161" s="1099" cm="1">
        <f t="array" aca="1" ref="F161" ca="1">IF($B$4=(INDIRECT("'"&amp;$C$46&amp;"'!$C$64")),INDIRECT("'"&amp;$C$46&amp;"'!$C$66"),INDIRECT("'"&amp;$C$46&amp;"'!$B$66"))</f>
        <v>220068</v>
      </c>
      <c r="G161" s="1099"/>
      <c r="H161" s="1099"/>
      <c r="I161" s="1099">
        <f ca="1">C161*F161</f>
        <v>0</v>
      </c>
      <c r="J161" s="1099"/>
      <c r="U161" s="462">
        <f>SUMIF(V128:V153,V161,Y128:Z153)</f>
        <v>0</v>
      </c>
      <c r="V161" s="926">
        <v>1</v>
      </c>
      <c r="W161" s="926"/>
      <c r="X161" s="1099" cm="1">
        <f t="array" aca="1" ref="X161" ca="1">IF($T$4=(INDIRECT("'"&amp;$U$46&amp;"'!$C$64")),INDIRECT("'"&amp;$U$46&amp;"'!$C$66"),INDIRECT("'"&amp;$U$46&amp;"'!$B$66"))</f>
        <v>220068</v>
      </c>
      <c r="Y161" s="1099"/>
      <c r="Z161" s="1099"/>
      <c r="AA161" s="1099">
        <f ca="1">U161*X161</f>
        <v>0</v>
      </c>
      <c r="AB161" s="1099"/>
    </row>
    <row r="162" spans="1:29" x14ac:dyDescent="0.25">
      <c r="C162" s="462">
        <f>SUMIF(D128:D153,D162,G128:H153)</f>
        <v>0</v>
      </c>
      <c r="D162" s="926">
        <v>2</v>
      </c>
      <c r="E162" s="926"/>
      <c r="F162" s="1099" cm="1">
        <f t="array" aca="1" ref="F162" ca="1">IF($B$4=(INDIRECT("'"&amp;$C$46&amp;"'!$C$64")),INDIRECT("'"&amp;$C$46&amp;"'!$C$67"),INDIRECT("'"&amp;$C$46&amp;"'!$B$67"))</f>
        <v>267609.59999999998</v>
      </c>
      <c r="G162" s="1099"/>
      <c r="H162" s="1099"/>
      <c r="I162" s="1099">
        <f ca="1">C162*F162</f>
        <v>0</v>
      </c>
      <c r="J162" s="1099"/>
      <c r="U162" s="462">
        <f>SUMIF(V128:V153,V162,Y128:Z153)</f>
        <v>0</v>
      </c>
      <c r="V162" s="926">
        <v>2</v>
      </c>
      <c r="W162" s="926"/>
      <c r="X162" s="1099" cm="1">
        <f t="array" aca="1" ref="X162" ca="1">IF($T$4=(INDIRECT("'"&amp;$U$46&amp;"'!$C$64")),INDIRECT("'"&amp;$U$46&amp;"'!$C$67"),INDIRECT("'"&amp;$U$46&amp;"'!$B$67"))</f>
        <v>267609.59999999998</v>
      </c>
      <c r="Y162" s="1099"/>
      <c r="Z162" s="1099"/>
      <c r="AA162" s="1099">
        <f ca="1">U162*X162</f>
        <v>0</v>
      </c>
      <c r="AB162" s="1099"/>
    </row>
    <row r="163" spans="1:29" x14ac:dyDescent="0.25">
      <c r="C163" s="462">
        <f>SUMIF(D128:D153,D163,G128:H153)</f>
        <v>0</v>
      </c>
      <c r="D163" s="926">
        <v>3</v>
      </c>
      <c r="E163" s="926"/>
      <c r="F163" s="1099" cm="1">
        <f t="array" aca="1" ref="F163" ca="1">IF($B$4=(INDIRECT("'"&amp;$C$46&amp;"'!$C$64")),INDIRECT("'"&amp;$C$46&amp;"'!$C$68"),INDIRECT("'"&amp;$C$46&amp;"'!$B$68"))</f>
        <v>346202.39999999997</v>
      </c>
      <c r="G163" s="1099"/>
      <c r="H163" s="1099"/>
      <c r="I163" s="1099">
        <f ca="1">C163*F163</f>
        <v>0</v>
      </c>
      <c r="J163" s="1099"/>
      <c r="U163" s="462">
        <f>SUMIF(V128:V153,V163,Y128:Z153)</f>
        <v>0</v>
      </c>
      <c r="V163" s="926">
        <v>3</v>
      </c>
      <c r="W163" s="926"/>
      <c r="X163" s="1099" cm="1">
        <f t="array" aca="1" ref="X163" ca="1">IF($T$4=(INDIRECT("'"&amp;$U$46&amp;"'!$C$64")),INDIRECT("'"&amp;$U$46&amp;"'!$C$68"),INDIRECT("'"&amp;$U$46&amp;"'!$B$68"))</f>
        <v>346202.39999999997</v>
      </c>
      <c r="Y163" s="1099"/>
      <c r="Z163" s="1099"/>
      <c r="AA163" s="1099">
        <f ca="1">U163*X163</f>
        <v>0</v>
      </c>
      <c r="AB163" s="1099"/>
    </row>
    <row r="164" spans="1:29" x14ac:dyDescent="0.25">
      <c r="C164" s="462">
        <f>SUMIF(D128:D153,D164,G128:H153)</f>
        <v>0</v>
      </c>
      <c r="D164" s="926">
        <v>4</v>
      </c>
      <c r="E164" s="926"/>
      <c r="F164" s="1099" cm="1">
        <f t="array" aca="1" ref="F164" ca="1">IF($B$4=(INDIRECT("'"&amp;$C$46&amp;"'!$C$64")),INDIRECT("'"&amp;$C$46&amp;"'!$C$69"),INDIRECT("'"&amp;$C$46&amp;"'!$B$69"))</f>
        <v>380018.39999999997</v>
      </c>
      <c r="G164" s="1099"/>
      <c r="H164" s="1099"/>
      <c r="I164" s="1099">
        <f ca="1">C164*F164</f>
        <v>0</v>
      </c>
      <c r="J164" s="1099"/>
      <c r="U164" s="462">
        <f>SUMIF(V128:V153,V164,Y128:Z153)</f>
        <v>0</v>
      </c>
      <c r="V164" s="926">
        <v>4</v>
      </c>
      <c r="W164" s="926"/>
      <c r="X164" s="1099" cm="1">
        <f t="array" aca="1" ref="X164" ca="1">IF($T$4=(INDIRECT("'"&amp;$U$46&amp;"'!$C$64")),INDIRECT("'"&amp;$U$46&amp;"'!$C$69"),INDIRECT("'"&amp;$U$46&amp;"'!$B$69"))</f>
        <v>380018.39999999997</v>
      </c>
      <c r="Y164" s="1099"/>
      <c r="Z164" s="1099"/>
      <c r="AA164" s="1099">
        <f ca="1">U164*X164</f>
        <v>0</v>
      </c>
      <c r="AB164" s="1099"/>
    </row>
    <row r="165" spans="1:29" ht="15.75" x14ac:dyDescent="0.25">
      <c r="H165" s="718" t="s">
        <v>817</v>
      </c>
      <c r="I165" s="719"/>
      <c r="J165" s="720"/>
      <c r="K165" s="466">
        <f ca="1">SUM(I160:J164)</f>
        <v>0</v>
      </c>
      <c r="Z165" s="718" t="s">
        <v>817</v>
      </c>
      <c r="AA165" s="719"/>
      <c r="AB165" s="720"/>
      <c r="AC165" s="466">
        <f ca="1">SUM(AA160:AB164)</f>
        <v>0</v>
      </c>
    </row>
    <row r="167" spans="1:29" ht="18.75" x14ac:dyDescent="0.3">
      <c r="A167" s="805" t="s">
        <v>820</v>
      </c>
      <c r="B167" s="805"/>
      <c r="C167" s="805"/>
      <c r="D167" s="805"/>
      <c r="E167" s="805"/>
      <c r="F167" s="805"/>
      <c r="G167" s="805"/>
      <c r="H167" s="805"/>
      <c r="I167" s="805"/>
      <c r="J167" s="805"/>
      <c r="K167" s="805"/>
      <c r="S167" s="805" t="s">
        <v>996</v>
      </c>
      <c r="T167" s="805"/>
      <c r="U167" s="805"/>
      <c r="V167" s="805"/>
      <c r="W167" s="805"/>
      <c r="X167" s="805"/>
      <c r="Y167" s="805"/>
      <c r="Z167" s="805"/>
      <c r="AA167" s="805"/>
      <c r="AB167" s="805"/>
      <c r="AC167" s="805"/>
    </row>
    <row r="168" spans="1:29" x14ac:dyDescent="0.25">
      <c r="B168" s="945" t="s">
        <v>821</v>
      </c>
      <c r="C168" s="945"/>
      <c r="D168" s="945"/>
      <c r="E168" s="945"/>
      <c r="F168" s="945"/>
      <c r="G168" s="945"/>
      <c r="H168" s="1099">
        <f>H120</f>
        <v>0</v>
      </c>
      <c r="I168" s="1099"/>
      <c r="J168" s="1099"/>
      <c r="T168" s="945" t="s">
        <v>997</v>
      </c>
      <c r="U168" s="945"/>
      <c r="V168" s="945"/>
      <c r="W168" s="945"/>
      <c r="X168" s="945"/>
      <c r="Y168" s="945"/>
      <c r="Z168" s="1099">
        <f>'Project Summary'!$I$44</f>
        <v>0</v>
      </c>
      <c r="AA168" s="1099"/>
      <c r="AB168" s="1099"/>
    </row>
    <row r="169" spans="1:29" x14ac:dyDescent="0.25">
      <c r="B169" s="945" t="s">
        <v>816</v>
      </c>
      <c r="C169" s="945"/>
      <c r="D169" s="945"/>
      <c r="E169" s="945"/>
      <c r="F169" s="945"/>
      <c r="G169" s="945"/>
      <c r="H169" s="1099">
        <f>K156</f>
        <v>0</v>
      </c>
      <c r="I169" s="1099"/>
      <c r="J169" s="1099"/>
      <c r="T169" s="945" t="s">
        <v>989</v>
      </c>
      <c r="U169" s="945"/>
      <c r="V169" s="945"/>
      <c r="W169" s="945"/>
      <c r="X169" s="945"/>
      <c r="Y169" s="945"/>
      <c r="Z169" s="1099">
        <f>AC156</f>
        <v>0</v>
      </c>
      <c r="AA169" s="1099"/>
      <c r="AB169" s="1099"/>
    </row>
    <row r="170" spans="1:29" x14ac:dyDescent="0.25">
      <c r="B170" s="945" t="s">
        <v>817</v>
      </c>
      <c r="C170" s="945"/>
      <c r="D170" s="945"/>
      <c r="E170" s="945"/>
      <c r="F170" s="945"/>
      <c r="G170" s="945"/>
      <c r="H170" s="1099">
        <f ca="1">K165</f>
        <v>0</v>
      </c>
      <c r="I170" s="1099"/>
      <c r="J170" s="1099"/>
      <c r="T170" s="945" t="s">
        <v>817</v>
      </c>
      <c r="U170" s="945"/>
      <c r="V170" s="945"/>
      <c r="W170" s="945"/>
      <c r="X170" s="945"/>
      <c r="Y170" s="945"/>
      <c r="Z170" s="1099">
        <f ca="1">AC165</f>
        <v>0</v>
      </c>
      <c r="AA170" s="1099"/>
      <c r="AB170" s="1099"/>
    </row>
    <row r="171" spans="1:29" ht="15.75" x14ac:dyDescent="0.25">
      <c r="H171" s="674" t="s">
        <v>822</v>
      </c>
      <c r="I171" s="674"/>
      <c r="J171" s="674"/>
      <c r="K171" s="466">
        <f ca="1">MIN(H168,H169,H170)</f>
        <v>0</v>
      </c>
      <c r="Z171" s="674" t="s">
        <v>1003</v>
      </c>
      <c r="AA171" s="674"/>
      <c r="AB171" s="674"/>
      <c r="AC171" s="466">
        <f ca="1">MIN(Z168,Z169,Z170)</f>
        <v>0</v>
      </c>
    </row>
    <row r="173" spans="1:29" ht="23.25" x14ac:dyDescent="0.35">
      <c r="A173" s="1106" t="s">
        <v>852</v>
      </c>
      <c r="B173" s="1106"/>
      <c r="C173" s="1106"/>
      <c r="D173" s="1106"/>
      <c r="E173" s="1106"/>
      <c r="F173" s="1106"/>
      <c r="G173" s="1106"/>
      <c r="H173" s="1106"/>
      <c r="I173" s="1106"/>
      <c r="J173" s="1106"/>
      <c r="K173" s="1106"/>
      <c r="S173" s="1106" t="s">
        <v>1006</v>
      </c>
      <c r="T173" s="1106"/>
      <c r="U173" s="1106"/>
      <c r="V173" s="1106"/>
      <c r="W173" s="1106"/>
      <c r="X173" s="1106"/>
      <c r="Y173" s="1106"/>
      <c r="Z173" s="1106"/>
      <c r="AA173" s="1106"/>
      <c r="AB173" s="1106"/>
      <c r="AC173" s="1106"/>
    </row>
    <row r="174" spans="1:29" ht="5.0999999999999996" customHeight="1" x14ac:dyDescent="0.25"/>
    <row r="175" spans="1:29" ht="30" customHeight="1" x14ac:dyDescent="0.25">
      <c r="A175" s="445" t="s">
        <v>488</v>
      </c>
      <c r="B175" s="445" t="s">
        <v>825</v>
      </c>
      <c r="C175" s="445" t="s">
        <v>848</v>
      </c>
      <c r="D175" s="445" t="s">
        <v>770</v>
      </c>
      <c r="E175" s="445" t="s">
        <v>771</v>
      </c>
      <c r="F175" s="445" t="s">
        <v>826</v>
      </c>
      <c r="G175" s="1107" t="s">
        <v>853</v>
      </c>
      <c r="H175" s="1108"/>
      <c r="I175" s="1107" t="s">
        <v>854</v>
      </c>
      <c r="J175" s="1108"/>
      <c r="S175" s="445" t="s">
        <v>488</v>
      </c>
      <c r="T175" s="445" t="s">
        <v>825</v>
      </c>
      <c r="U175" s="445" t="s">
        <v>848</v>
      </c>
      <c r="V175" s="445" t="s">
        <v>770</v>
      </c>
      <c r="W175" s="445" t="s">
        <v>771</v>
      </c>
      <c r="X175" s="445" t="s">
        <v>826</v>
      </c>
      <c r="Y175" s="1107" t="s">
        <v>1004</v>
      </c>
      <c r="Z175" s="1108"/>
      <c r="AA175" s="1107" t="s">
        <v>1005</v>
      </c>
      <c r="AB175" s="1108"/>
    </row>
    <row r="176" spans="1:29" x14ac:dyDescent="0.25">
      <c r="A176" s="194" t="str">
        <f t="shared" ref="A176:A201" si="37">A9</f>
        <v>A</v>
      </c>
      <c r="B176" s="194" t="str">
        <f>IF(B9="","",B9)</f>
        <v/>
      </c>
      <c r="C176" s="463" t="str">
        <f t="shared" ref="C176:F176" si="38">IF(C9="","",C9)</f>
        <v/>
      </c>
      <c r="D176" s="194" t="str">
        <f t="shared" si="38"/>
        <v/>
      </c>
      <c r="E176" s="194" t="str">
        <f t="shared" si="38"/>
        <v/>
      </c>
      <c r="F176" s="125" t="str">
        <f t="shared" si="38"/>
        <v/>
      </c>
      <c r="G176" s="753"/>
      <c r="H176" s="753"/>
      <c r="I176" s="1111" t="str">
        <f>IF(B176="","",G176/B176)</f>
        <v/>
      </c>
      <c r="J176" s="1111"/>
      <c r="K176" s="147"/>
      <c r="S176" s="194" t="str">
        <f t="shared" ref="S176:S201" si="39">S9</f>
        <v>A</v>
      </c>
      <c r="T176" s="194" t="str">
        <f>IF(T9="","",T9)</f>
        <v/>
      </c>
      <c r="U176" s="463" t="str">
        <f>IF(U9="","",U9)</f>
        <v/>
      </c>
      <c r="V176" s="194" t="str">
        <f>IF(V9="","",V9)</f>
        <v/>
      </c>
      <c r="W176" s="194" t="str">
        <f>IF(W9="","",W9)</f>
        <v/>
      </c>
      <c r="X176" s="125" t="str">
        <f>IF(X9="","",X9)</f>
        <v/>
      </c>
      <c r="Y176" s="753"/>
      <c r="Z176" s="753"/>
      <c r="AA176" s="1111" t="str">
        <f>IF(T176="","",Y176/T176)</f>
        <v/>
      </c>
      <c r="AB176" s="1111"/>
      <c r="AC176" s="147"/>
    </row>
    <row r="177" spans="1:29" x14ac:dyDescent="0.25">
      <c r="A177" s="194" t="str">
        <f t="shared" si="37"/>
        <v>B</v>
      </c>
      <c r="B177" s="194" t="str">
        <f t="shared" ref="B177:F177" si="40">IF(B10="","",B10)</f>
        <v/>
      </c>
      <c r="C177" s="463" t="str">
        <f t="shared" si="40"/>
        <v/>
      </c>
      <c r="D177" s="194" t="str">
        <f t="shared" si="40"/>
        <v/>
      </c>
      <c r="E177" s="194" t="str">
        <f t="shared" si="40"/>
        <v/>
      </c>
      <c r="F177" s="125" t="str">
        <f t="shared" si="40"/>
        <v/>
      </c>
      <c r="G177" s="753"/>
      <c r="H177" s="753"/>
      <c r="I177" s="1111" t="str">
        <f t="shared" ref="I177:I201" si="41">IF(B177="","",G177/B177)</f>
        <v/>
      </c>
      <c r="J177" s="1111"/>
      <c r="K177" s="147"/>
      <c r="S177" s="194" t="str">
        <f t="shared" si="39"/>
        <v>B</v>
      </c>
      <c r="T177" s="194" t="str">
        <f t="shared" ref="T177:X177" si="42">IF(T10="","",T10)</f>
        <v/>
      </c>
      <c r="U177" s="463" t="str">
        <f t="shared" si="42"/>
        <v/>
      </c>
      <c r="V177" s="194" t="str">
        <f t="shared" si="42"/>
        <v/>
      </c>
      <c r="W177" s="194" t="str">
        <f t="shared" si="42"/>
        <v/>
      </c>
      <c r="X177" s="125" t="str">
        <f t="shared" si="42"/>
        <v/>
      </c>
      <c r="Y177" s="753"/>
      <c r="Z177" s="753"/>
      <c r="AA177" s="1111" t="str">
        <f t="shared" ref="AA177:AA201" si="43">IF(T177="","",Y177/T177)</f>
        <v/>
      </c>
      <c r="AB177" s="1111"/>
      <c r="AC177" s="147"/>
    </row>
    <row r="178" spans="1:29" x14ac:dyDescent="0.25">
      <c r="A178" s="194" t="str">
        <f t="shared" si="37"/>
        <v>C</v>
      </c>
      <c r="B178" s="194" t="str">
        <f t="shared" ref="B178:F178" si="44">IF(B11="","",B11)</f>
        <v/>
      </c>
      <c r="C178" s="463" t="str">
        <f t="shared" si="44"/>
        <v/>
      </c>
      <c r="D178" s="194" t="str">
        <f t="shared" si="44"/>
        <v/>
      </c>
      <c r="E178" s="194" t="str">
        <f t="shared" si="44"/>
        <v/>
      </c>
      <c r="F178" s="125" t="str">
        <f t="shared" si="44"/>
        <v/>
      </c>
      <c r="G178" s="753"/>
      <c r="H178" s="753"/>
      <c r="I178" s="1111" t="str">
        <f t="shared" si="41"/>
        <v/>
      </c>
      <c r="J178" s="1111"/>
      <c r="K178" s="147"/>
      <c r="S178" s="194" t="str">
        <f t="shared" si="39"/>
        <v>C</v>
      </c>
      <c r="T178" s="194" t="str">
        <f t="shared" ref="T178:X178" si="45">IF(T11="","",T11)</f>
        <v/>
      </c>
      <c r="U178" s="463" t="str">
        <f t="shared" si="45"/>
        <v/>
      </c>
      <c r="V178" s="194" t="str">
        <f t="shared" si="45"/>
        <v/>
      </c>
      <c r="W178" s="194" t="str">
        <f t="shared" si="45"/>
        <v/>
      </c>
      <c r="X178" s="125" t="str">
        <f t="shared" si="45"/>
        <v/>
      </c>
      <c r="Y178" s="753"/>
      <c r="Z178" s="753"/>
      <c r="AA178" s="1111" t="str">
        <f t="shared" si="43"/>
        <v/>
      </c>
      <c r="AB178" s="1111"/>
      <c r="AC178" s="147"/>
    </row>
    <row r="179" spans="1:29" x14ac:dyDescent="0.25">
      <c r="A179" s="194" t="str">
        <f t="shared" si="37"/>
        <v>D</v>
      </c>
      <c r="B179" s="194" t="str">
        <f t="shared" ref="B179:F179" si="46">IF(B12="","",B12)</f>
        <v/>
      </c>
      <c r="C179" s="463" t="str">
        <f t="shared" si="46"/>
        <v/>
      </c>
      <c r="D179" s="194" t="str">
        <f t="shared" si="46"/>
        <v/>
      </c>
      <c r="E179" s="194" t="str">
        <f t="shared" si="46"/>
        <v/>
      </c>
      <c r="F179" s="125" t="str">
        <f t="shared" si="46"/>
        <v/>
      </c>
      <c r="G179" s="753"/>
      <c r="H179" s="753"/>
      <c r="I179" s="1111" t="str">
        <f t="shared" si="41"/>
        <v/>
      </c>
      <c r="J179" s="1111"/>
      <c r="K179" s="147"/>
      <c r="S179" s="194" t="str">
        <f t="shared" si="39"/>
        <v>D</v>
      </c>
      <c r="T179" s="194" t="str">
        <f t="shared" ref="T179:X179" si="47">IF(T12="","",T12)</f>
        <v/>
      </c>
      <c r="U179" s="463" t="str">
        <f t="shared" si="47"/>
        <v/>
      </c>
      <c r="V179" s="194" t="str">
        <f t="shared" si="47"/>
        <v/>
      </c>
      <c r="W179" s="194" t="str">
        <f t="shared" si="47"/>
        <v/>
      </c>
      <c r="X179" s="125" t="str">
        <f t="shared" si="47"/>
        <v/>
      </c>
      <c r="Y179" s="753"/>
      <c r="Z179" s="753"/>
      <c r="AA179" s="1111" t="str">
        <f t="shared" si="43"/>
        <v/>
      </c>
      <c r="AB179" s="1111"/>
      <c r="AC179" s="147"/>
    </row>
    <row r="180" spans="1:29" x14ac:dyDescent="0.25">
      <c r="A180" s="194" t="str">
        <f t="shared" si="37"/>
        <v>E</v>
      </c>
      <c r="B180" s="194" t="str">
        <f t="shared" ref="B180:F180" si="48">IF(B13="","",B13)</f>
        <v/>
      </c>
      <c r="C180" s="463" t="str">
        <f t="shared" si="48"/>
        <v/>
      </c>
      <c r="D180" s="194" t="str">
        <f t="shared" si="48"/>
        <v/>
      </c>
      <c r="E180" s="194" t="str">
        <f t="shared" si="48"/>
        <v/>
      </c>
      <c r="F180" s="125" t="str">
        <f t="shared" si="48"/>
        <v/>
      </c>
      <c r="G180" s="753"/>
      <c r="H180" s="753"/>
      <c r="I180" s="1111" t="str">
        <f t="shared" si="41"/>
        <v/>
      </c>
      <c r="J180" s="1111"/>
      <c r="K180" s="147"/>
      <c r="S180" s="194" t="str">
        <f t="shared" si="39"/>
        <v>E</v>
      </c>
      <c r="T180" s="194" t="str">
        <f t="shared" ref="T180:X180" si="49">IF(T13="","",T13)</f>
        <v/>
      </c>
      <c r="U180" s="463" t="str">
        <f t="shared" si="49"/>
        <v/>
      </c>
      <c r="V180" s="194" t="str">
        <f t="shared" si="49"/>
        <v/>
      </c>
      <c r="W180" s="194" t="str">
        <f t="shared" si="49"/>
        <v/>
      </c>
      <c r="X180" s="125" t="str">
        <f t="shared" si="49"/>
        <v/>
      </c>
      <c r="Y180" s="753"/>
      <c r="Z180" s="753"/>
      <c r="AA180" s="1111" t="str">
        <f t="shared" si="43"/>
        <v/>
      </c>
      <c r="AB180" s="1111"/>
      <c r="AC180" s="147"/>
    </row>
    <row r="181" spans="1:29" x14ac:dyDescent="0.25">
      <c r="A181" s="194" t="str">
        <f t="shared" si="37"/>
        <v>F</v>
      </c>
      <c r="B181" s="194" t="str">
        <f t="shared" ref="B181:F181" si="50">IF(B14="","",B14)</f>
        <v/>
      </c>
      <c r="C181" s="463" t="str">
        <f t="shared" si="50"/>
        <v/>
      </c>
      <c r="D181" s="194" t="str">
        <f t="shared" si="50"/>
        <v/>
      </c>
      <c r="E181" s="194" t="str">
        <f t="shared" si="50"/>
        <v/>
      </c>
      <c r="F181" s="125" t="str">
        <f t="shared" si="50"/>
        <v/>
      </c>
      <c r="G181" s="753"/>
      <c r="H181" s="753"/>
      <c r="I181" s="1111" t="str">
        <f t="shared" si="41"/>
        <v/>
      </c>
      <c r="J181" s="1111"/>
      <c r="K181" s="147"/>
      <c r="S181" s="194" t="str">
        <f t="shared" si="39"/>
        <v>F</v>
      </c>
      <c r="T181" s="194" t="str">
        <f t="shared" ref="T181:X181" si="51">IF(T14="","",T14)</f>
        <v/>
      </c>
      <c r="U181" s="463" t="str">
        <f t="shared" si="51"/>
        <v/>
      </c>
      <c r="V181" s="194" t="str">
        <f t="shared" si="51"/>
        <v/>
      </c>
      <c r="W181" s="194" t="str">
        <f t="shared" si="51"/>
        <v/>
      </c>
      <c r="X181" s="125" t="str">
        <f t="shared" si="51"/>
        <v/>
      </c>
      <c r="Y181" s="753"/>
      <c r="Z181" s="753"/>
      <c r="AA181" s="1111" t="str">
        <f t="shared" si="43"/>
        <v/>
      </c>
      <c r="AB181" s="1111"/>
      <c r="AC181" s="147"/>
    </row>
    <row r="182" spans="1:29" x14ac:dyDescent="0.25">
      <c r="A182" s="194" t="str">
        <f t="shared" si="37"/>
        <v>G</v>
      </c>
      <c r="B182" s="194" t="str">
        <f t="shared" ref="B182:F182" si="52">IF(B15="","",B15)</f>
        <v/>
      </c>
      <c r="C182" s="463" t="str">
        <f t="shared" si="52"/>
        <v/>
      </c>
      <c r="D182" s="194" t="str">
        <f t="shared" si="52"/>
        <v/>
      </c>
      <c r="E182" s="194" t="str">
        <f t="shared" si="52"/>
        <v/>
      </c>
      <c r="F182" s="125" t="str">
        <f t="shared" si="52"/>
        <v/>
      </c>
      <c r="G182" s="753"/>
      <c r="H182" s="753"/>
      <c r="I182" s="1111" t="str">
        <f t="shared" si="41"/>
        <v/>
      </c>
      <c r="J182" s="1111"/>
      <c r="K182" s="147"/>
      <c r="S182" s="194" t="str">
        <f t="shared" si="39"/>
        <v>G</v>
      </c>
      <c r="T182" s="194" t="str">
        <f t="shared" ref="T182:X182" si="53">IF(T15="","",T15)</f>
        <v/>
      </c>
      <c r="U182" s="463" t="str">
        <f t="shared" si="53"/>
        <v/>
      </c>
      <c r="V182" s="194" t="str">
        <f t="shared" si="53"/>
        <v/>
      </c>
      <c r="W182" s="194" t="str">
        <f t="shared" si="53"/>
        <v/>
      </c>
      <c r="X182" s="125" t="str">
        <f t="shared" si="53"/>
        <v/>
      </c>
      <c r="Y182" s="753"/>
      <c r="Z182" s="753"/>
      <c r="AA182" s="1111" t="str">
        <f t="shared" si="43"/>
        <v/>
      </c>
      <c r="AB182" s="1111"/>
      <c r="AC182" s="147"/>
    </row>
    <row r="183" spans="1:29" x14ac:dyDescent="0.25">
      <c r="A183" s="194" t="str">
        <f t="shared" si="37"/>
        <v>H</v>
      </c>
      <c r="B183" s="194" t="str">
        <f t="shared" ref="B183:F183" si="54">IF(B16="","",B16)</f>
        <v/>
      </c>
      <c r="C183" s="463" t="str">
        <f t="shared" si="54"/>
        <v/>
      </c>
      <c r="D183" s="194" t="str">
        <f t="shared" si="54"/>
        <v/>
      </c>
      <c r="E183" s="194" t="str">
        <f t="shared" si="54"/>
        <v/>
      </c>
      <c r="F183" s="125" t="str">
        <f t="shared" si="54"/>
        <v/>
      </c>
      <c r="G183" s="753"/>
      <c r="H183" s="753"/>
      <c r="I183" s="1111" t="str">
        <f t="shared" si="41"/>
        <v/>
      </c>
      <c r="J183" s="1111"/>
      <c r="K183" s="147"/>
      <c r="S183" s="194" t="str">
        <f t="shared" si="39"/>
        <v>H</v>
      </c>
      <c r="T183" s="194" t="str">
        <f t="shared" ref="T183:X183" si="55">IF(T16="","",T16)</f>
        <v/>
      </c>
      <c r="U183" s="463" t="str">
        <f t="shared" si="55"/>
        <v/>
      </c>
      <c r="V183" s="194" t="str">
        <f t="shared" si="55"/>
        <v/>
      </c>
      <c r="W183" s="194" t="str">
        <f t="shared" si="55"/>
        <v/>
      </c>
      <c r="X183" s="125" t="str">
        <f t="shared" si="55"/>
        <v/>
      </c>
      <c r="Y183" s="753"/>
      <c r="Z183" s="753"/>
      <c r="AA183" s="1111" t="str">
        <f t="shared" si="43"/>
        <v/>
      </c>
      <c r="AB183" s="1111"/>
      <c r="AC183" s="147"/>
    </row>
    <row r="184" spans="1:29" x14ac:dyDescent="0.25">
      <c r="A184" s="194" t="str">
        <f t="shared" si="37"/>
        <v>I</v>
      </c>
      <c r="B184" s="194" t="str">
        <f t="shared" ref="B184:F184" si="56">IF(B17="","",B17)</f>
        <v/>
      </c>
      <c r="C184" s="463" t="str">
        <f t="shared" si="56"/>
        <v/>
      </c>
      <c r="D184" s="194" t="str">
        <f t="shared" si="56"/>
        <v/>
      </c>
      <c r="E184" s="194" t="str">
        <f t="shared" si="56"/>
        <v/>
      </c>
      <c r="F184" s="125" t="str">
        <f t="shared" si="56"/>
        <v/>
      </c>
      <c r="G184" s="753"/>
      <c r="H184" s="753"/>
      <c r="I184" s="1111" t="str">
        <f t="shared" si="41"/>
        <v/>
      </c>
      <c r="J184" s="1111"/>
      <c r="K184" s="147"/>
      <c r="S184" s="194" t="str">
        <f t="shared" si="39"/>
        <v>I</v>
      </c>
      <c r="T184" s="194" t="str">
        <f t="shared" ref="T184:X184" si="57">IF(T17="","",T17)</f>
        <v/>
      </c>
      <c r="U184" s="463" t="str">
        <f t="shared" si="57"/>
        <v/>
      </c>
      <c r="V184" s="194" t="str">
        <f t="shared" si="57"/>
        <v/>
      </c>
      <c r="W184" s="194" t="str">
        <f t="shared" si="57"/>
        <v/>
      </c>
      <c r="X184" s="125" t="str">
        <f t="shared" si="57"/>
        <v/>
      </c>
      <c r="Y184" s="753"/>
      <c r="Z184" s="753"/>
      <c r="AA184" s="1111" t="str">
        <f t="shared" si="43"/>
        <v/>
      </c>
      <c r="AB184" s="1111"/>
      <c r="AC184" s="147"/>
    </row>
    <row r="185" spans="1:29" x14ac:dyDescent="0.25">
      <c r="A185" s="194" t="str">
        <f t="shared" si="37"/>
        <v>J</v>
      </c>
      <c r="B185" s="194" t="str">
        <f t="shared" ref="B185:F185" si="58">IF(B18="","",B18)</f>
        <v/>
      </c>
      <c r="C185" s="463" t="str">
        <f t="shared" si="58"/>
        <v/>
      </c>
      <c r="D185" s="194" t="str">
        <f t="shared" si="58"/>
        <v/>
      </c>
      <c r="E185" s="194" t="str">
        <f t="shared" si="58"/>
        <v/>
      </c>
      <c r="F185" s="125" t="str">
        <f t="shared" si="58"/>
        <v/>
      </c>
      <c r="G185" s="753"/>
      <c r="H185" s="753"/>
      <c r="I185" s="1111" t="str">
        <f t="shared" si="41"/>
        <v/>
      </c>
      <c r="J185" s="1111"/>
      <c r="K185" s="147"/>
      <c r="S185" s="194" t="str">
        <f t="shared" si="39"/>
        <v>J</v>
      </c>
      <c r="T185" s="194" t="str">
        <f t="shared" ref="T185:X185" si="59">IF(T18="","",T18)</f>
        <v/>
      </c>
      <c r="U185" s="463" t="str">
        <f t="shared" si="59"/>
        <v/>
      </c>
      <c r="V185" s="194" t="str">
        <f t="shared" si="59"/>
        <v/>
      </c>
      <c r="W185" s="194" t="str">
        <f t="shared" si="59"/>
        <v/>
      </c>
      <c r="X185" s="125" t="str">
        <f t="shared" si="59"/>
        <v/>
      </c>
      <c r="Y185" s="753"/>
      <c r="Z185" s="753"/>
      <c r="AA185" s="1111" t="str">
        <f t="shared" si="43"/>
        <v/>
      </c>
      <c r="AB185" s="1111"/>
      <c r="AC185" s="147"/>
    </row>
    <row r="186" spans="1:29" x14ac:dyDescent="0.25">
      <c r="A186" s="194" t="str">
        <f t="shared" si="37"/>
        <v>K</v>
      </c>
      <c r="B186" s="194" t="str">
        <f t="shared" ref="B186:F186" si="60">IF(B19="","",B19)</f>
        <v/>
      </c>
      <c r="C186" s="463" t="str">
        <f t="shared" si="60"/>
        <v/>
      </c>
      <c r="D186" s="194" t="str">
        <f t="shared" si="60"/>
        <v/>
      </c>
      <c r="E186" s="194" t="str">
        <f t="shared" si="60"/>
        <v/>
      </c>
      <c r="F186" s="125" t="str">
        <f t="shared" si="60"/>
        <v/>
      </c>
      <c r="G186" s="753"/>
      <c r="H186" s="753"/>
      <c r="I186" s="1111" t="str">
        <f t="shared" si="41"/>
        <v/>
      </c>
      <c r="J186" s="1111"/>
      <c r="K186" s="147"/>
      <c r="S186" s="194" t="str">
        <f t="shared" si="39"/>
        <v>K</v>
      </c>
      <c r="T186" s="194" t="str">
        <f t="shared" ref="T186:X186" si="61">IF(T19="","",T19)</f>
        <v/>
      </c>
      <c r="U186" s="463" t="str">
        <f t="shared" si="61"/>
        <v/>
      </c>
      <c r="V186" s="194" t="str">
        <f t="shared" si="61"/>
        <v/>
      </c>
      <c r="W186" s="194" t="str">
        <f t="shared" si="61"/>
        <v/>
      </c>
      <c r="X186" s="125" t="str">
        <f t="shared" si="61"/>
        <v/>
      </c>
      <c r="Y186" s="753"/>
      <c r="Z186" s="753"/>
      <c r="AA186" s="1111" t="str">
        <f t="shared" si="43"/>
        <v/>
      </c>
      <c r="AB186" s="1111"/>
      <c r="AC186" s="147"/>
    </row>
    <row r="187" spans="1:29" x14ac:dyDescent="0.25">
      <c r="A187" s="194" t="str">
        <f t="shared" si="37"/>
        <v>L</v>
      </c>
      <c r="B187" s="194" t="str">
        <f t="shared" ref="B187:F187" si="62">IF(B20="","",B20)</f>
        <v/>
      </c>
      <c r="C187" s="463" t="str">
        <f t="shared" si="62"/>
        <v/>
      </c>
      <c r="D187" s="194" t="str">
        <f t="shared" si="62"/>
        <v/>
      </c>
      <c r="E187" s="194" t="str">
        <f t="shared" si="62"/>
        <v/>
      </c>
      <c r="F187" s="125" t="str">
        <f t="shared" si="62"/>
        <v/>
      </c>
      <c r="G187" s="753"/>
      <c r="H187" s="753"/>
      <c r="I187" s="1111" t="str">
        <f t="shared" si="41"/>
        <v/>
      </c>
      <c r="J187" s="1111"/>
      <c r="K187" s="147"/>
      <c r="S187" s="194" t="str">
        <f t="shared" si="39"/>
        <v>L</v>
      </c>
      <c r="T187" s="194" t="str">
        <f t="shared" ref="T187:X187" si="63">IF(T20="","",T20)</f>
        <v/>
      </c>
      <c r="U187" s="463" t="str">
        <f t="shared" si="63"/>
        <v/>
      </c>
      <c r="V187" s="194" t="str">
        <f t="shared" si="63"/>
        <v/>
      </c>
      <c r="W187" s="194" t="str">
        <f t="shared" si="63"/>
        <v/>
      </c>
      <c r="X187" s="125" t="str">
        <f t="shared" si="63"/>
        <v/>
      </c>
      <c r="Y187" s="753"/>
      <c r="Z187" s="753"/>
      <c r="AA187" s="1111" t="str">
        <f t="shared" si="43"/>
        <v/>
      </c>
      <c r="AB187" s="1111"/>
      <c r="AC187" s="147"/>
    </row>
    <row r="188" spans="1:29" x14ac:dyDescent="0.25">
      <c r="A188" s="194" t="str">
        <f t="shared" si="37"/>
        <v>M</v>
      </c>
      <c r="B188" s="194" t="str">
        <f t="shared" ref="B188:F188" si="64">IF(B21="","",B21)</f>
        <v/>
      </c>
      <c r="C188" s="463" t="str">
        <f t="shared" si="64"/>
        <v/>
      </c>
      <c r="D188" s="194" t="str">
        <f t="shared" si="64"/>
        <v/>
      </c>
      <c r="E188" s="194" t="str">
        <f t="shared" si="64"/>
        <v/>
      </c>
      <c r="F188" s="125" t="str">
        <f t="shared" si="64"/>
        <v/>
      </c>
      <c r="G188" s="753"/>
      <c r="H188" s="753"/>
      <c r="I188" s="1111" t="str">
        <f t="shared" si="41"/>
        <v/>
      </c>
      <c r="J188" s="1111"/>
      <c r="K188" s="147"/>
      <c r="S188" s="194" t="str">
        <f t="shared" si="39"/>
        <v>M</v>
      </c>
      <c r="T188" s="194" t="str">
        <f t="shared" ref="T188:X188" si="65">IF(T21="","",T21)</f>
        <v/>
      </c>
      <c r="U188" s="463" t="str">
        <f t="shared" si="65"/>
        <v/>
      </c>
      <c r="V188" s="194" t="str">
        <f t="shared" si="65"/>
        <v/>
      </c>
      <c r="W188" s="194" t="str">
        <f t="shared" si="65"/>
        <v/>
      </c>
      <c r="X188" s="125" t="str">
        <f t="shared" si="65"/>
        <v/>
      </c>
      <c r="Y188" s="753"/>
      <c r="Z188" s="753"/>
      <c r="AA188" s="1111" t="str">
        <f t="shared" si="43"/>
        <v/>
      </c>
      <c r="AB188" s="1111"/>
      <c r="AC188" s="147"/>
    </row>
    <row r="189" spans="1:29" x14ac:dyDescent="0.25">
      <c r="A189" s="194" t="str">
        <f t="shared" si="37"/>
        <v>N</v>
      </c>
      <c r="B189" s="194" t="str">
        <f t="shared" ref="B189:F189" si="66">IF(B22="","",B22)</f>
        <v/>
      </c>
      <c r="C189" s="463" t="str">
        <f t="shared" si="66"/>
        <v/>
      </c>
      <c r="D189" s="194" t="str">
        <f t="shared" si="66"/>
        <v/>
      </c>
      <c r="E189" s="194" t="str">
        <f t="shared" si="66"/>
        <v/>
      </c>
      <c r="F189" s="125" t="str">
        <f t="shared" si="66"/>
        <v/>
      </c>
      <c r="G189" s="753"/>
      <c r="H189" s="753"/>
      <c r="I189" s="1111" t="str">
        <f t="shared" si="41"/>
        <v/>
      </c>
      <c r="J189" s="1111"/>
      <c r="K189" s="147"/>
      <c r="S189" s="194" t="str">
        <f t="shared" si="39"/>
        <v>N</v>
      </c>
      <c r="T189" s="194" t="str">
        <f t="shared" ref="T189:X189" si="67">IF(T22="","",T22)</f>
        <v/>
      </c>
      <c r="U189" s="463" t="str">
        <f t="shared" si="67"/>
        <v/>
      </c>
      <c r="V189" s="194" t="str">
        <f t="shared" si="67"/>
        <v/>
      </c>
      <c r="W189" s="194" t="str">
        <f t="shared" si="67"/>
        <v/>
      </c>
      <c r="X189" s="125" t="str">
        <f t="shared" si="67"/>
        <v/>
      </c>
      <c r="Y189" s="753"/>
      <c r="Z189" s="753"/>
      <c r="AA189" s="1111" t="str">
        <f t="shared" si="43"/>
        <v/>
      </c>
      <c r="AB189" s="1111"/>
      <c r="AC189" s="147"/>
    </row>
    <row r="190" spans="1:29" x14ac:dyDescent="0.25">
      <c r="A190" s="194" t="str">
        <f t="shared" si="37"/>
        <v>O</v>
      </c>
      <c r="B190" s="194" t="str">
        <f t="shared" ref="B190:F190" si="68">IF(B23="","",B23)</f>
        <v/>
      </c>
      <c r="C190" s="463" t="str">
        <f t="shared" si="68"/>
        <v/>
      </c>
      <c r="D190" s="194" t="str">
        <f t="shared" si="68"/>
        <v/>
      </c>
      <c r="E190" s="194" t="str">
        <f t="shared" si="68"/>
        <v/>
      </c>
      <c r="F190" s="125" t="str">
        <f t="shared" si="68"/>
        <v/>
      </c>
      <c r="G190" s="753"/>
      <c r="H190" s="753"/>
      <c r="I190" s="1111" t="str">
        <f t="shared" si="41"/>
        <v/>
      </c>
      <c r="J190" s="1111"/>
      <c r="K190" s="147"/>
      <c r="S190" s="194" t="str">
        <f t="shared" si="39"/>
        <v>O</v>
      </c>
      <c r="T190" s="194" t="str">
        <f t="shared" ref="T190:X190" si="69">IF(T23="","",T23)</f>
        <v/>
      </c>
      <c r="U190" s="463" t="str">
        <f t="shared" si="69"/>
        <v/>
      </c>
      <c r="V190" s="194" t="str">
        <f t="shared" si="69"/>
        <v/>
      </c>
      <c r="W190" s="194" t="str">
        <f t="shared" si="69"/>
        <v/>
      </c>
      <c r="X190" s="125" t="str">
        <f t="shared" si="69"/>
        <v/>
      </c>
      <c r="Y190" s="753"/>
      <c r="Z190" s="753"/>
      <c r="AA190" s="1111" t="str">
        <f t="shared" si="43"/>
        <v/>
      </c>
      <c r="AB190" s="1111"/>
      <c r="AC190" s="147"/>
    </row>
    <row r="191" spans="1:29" x14ac:dyDescent="0.25">
      <c r="A191" s="194" t="str">
        <f t="shared" si="37"/>
        <v>P</v>
      </c>
      <c r="B191" s="194" t="str">
        <f t="shared" ref="B191:F191" si="70">IF(B24="","",B24)</f>
        <v/>
      </c>
      <c r="C191" s="463" t="str">
        <f t="shared" si="70"/>
        <v/>
      </c>
      <c r="D191" s="194" t="str">
        <f t="shared" si="70"/>
        <v/>
      </c>
      <c r="E191" s="194" t="str">
        <f t="shared" si="70"/>
        <v/>
      </c>
      <c r="F191" s="125" t="str">
        <f t="shared" si="70"/>
        <v/>
      </c>
      <c r="G191" s="753"/>
      <c r="H191" s="753"/>
      <c r="I191" s="1111" t="str">
        <f t="shared" si="41"/>
        <v/>
      </c>
      <c r="J191" s="1111"/>
      <c r="K191" s="147"/>
      <c r="S191" s="194" t="str">
        <f t="shared" si="39"/>
        <v>P</v>
      </c>
      <c r="T191" s="194" t="str">
        <f t="shared" ref="T191:X191" si="71">IF(T24="","",T24)</f>
        <v/>
      </c>
      <c r="U191" s="463" t="str">
        <f t="shared" si="71"/>
        <v/>
      </c>
      <c r="V191" s="194" t="str">
        <f t="shared" si="71"/>
        <v/>
      </c>
      <c r="W191" s="194" t="str">
        <f t="shared" si="71"/>
        <v/>
      </c>
      <c r="X191" s="125" t="str">
        <f t="shared" si="71"/>
        <v/>
      </c>
      <c r="Y191" s="753"/>
      <c r="Z191" s="753"/>
      <c r="AA191" s="1111" t="str">
        <f t="shared" si="43"/>
        <v/>
      </c>
      <c r="AB191" s="1111"/>
      <c r="AC191" s="147"/>
    </row>
    <row r="192" spans="1:29" x14ac:dyDescent="0.25">
      <c r="A192" s="194" t="str">
        <f t="shared" si="37"/>
        <v>Q</v>
      </c>
      <c r="B192" s="194" t="str">
        <f t="shared" ref="B192:F192" si="72">IF(B25="","",B25)</f>
        <v/>
      </c>
      <c r="C192" s="463" t="str">
        <f t="shared" si="72"/>
        <v/>
      </c>
      <c r="D192" s="194" t="str">
        <f t="shared" si="72"/>
        <v/>
      </c>
      <c r="E192" s="194" t="str">
        <f t="shared" si="72"/>
        <v/>
      </c>
      <c r="F192" s="125" t="str">
        <f t="shared" si="72"/>
        <v/>
      </c>
      <c r="G192" s="753"/>
      <c r="H192" s="753"/>
      <c r="I192" s="1111" t="str">
        <f t="shared" si="41"/>
        <v/>
      </c>
      <c r="J192" s="1111"/>
      <c r="K192" s="147"/>
      <c r="S192" s="194" t="str">
        <f t="shared" si="39"/>
        <v>Q</v>
      </c>
      <c r="T192" s="194" t="str">
        <f t="shared" ref="T192:X192" si="73">IF(T25="","",T25)</f>
        <v/>
      </c>
      <c r="U192" s="463" t="str">
        <f t="shared" si="73"/>
        <v/>
      </c>
      <c r="V192" s="194" t="str">
        <f t="shared" si="73"/>
        <v/>
      </c>
      <c r="W192" s="194" t="str">
        <f t="shared" si="73"/>
        <v/>
      </c>
      <c r="X192" s="125" t="str">
        <f t="shared" si="73"/>
        <v/>
      </c>
      <c r="Y192" s="753"/>
      <c r="Z192" s="753"/>
      <c r="AA192" s="1111" t="str">
        <f t="shared" si="43"/>
        <v/>
      </c>
      <c r="AB192" s="1111"/>
      <c r="AC192" s="147"/>
    </row>
    <row r="193" spans="1:29" x14ac:dyDescent="0.25">
      <c r="A193" s="194" t="str">
        <f t="shared" si="37"/>
        <v>R</v>
      </c>
      <c r="B193" s="194" t="str">
        <f t="shared" ref="B193:F193" si="74">IF(B26="","",B26)</f>
        <v/>
      </c>
      <c r="C193" s="463" t="str">
        <f t="shared" si="74"/>
        <v/>
      </c>
      <c r="D193" s="194" t="str">
        <f t="shared" si="74"/>
        <v/>
      </c>
      <c r="E193" s="194" t="str">
        <f t="shared" si="74"/>
        <v/>
      </c>
      <c r="F193" s="125" t="str">
        <f t="shared" si="74"/>
        <v/>
      </c>
      <c r="G193" s="753"/>
      <c r="H193" s="753"/>
      <c r="I193" s="1111" t="str">
        <f t="shared" si="41"/>
        <v/>
      </c>
      <c r="J193" s="1111"/>
      <c r="S193" s="194" t="str">
        <f t="shared" si="39"/>
        <v>R</v>
      </c>
      <c r="T193" s="194" t="str">
        <f t="shared" ref="T193:X193" si="75">IF(T26="","",T26)</f>
        <v/>
      </c>
      <c r="U193" s="463" t="str">
        <f t="shared" si="75"/>
        <v/>
      </c>
      <c r="V193" s="194" t="str">
        <f t="shared" si="75"/>
        <v/>
      </c>
      <c r="W193" s="194" t="str">
        <f t="shared" si="75"/>
        <v/>
      </c>
      <c r="X193" s="125" t="str">
        <f t="shared" si="75"/>
        <v/>
      </c>
      <c r="Y193" s="753"/>
      <c r="Z193" s="753"/>
      <c r="AA193" s="1111" t="str">
        <f t="shared" si="43"/>
        <v/>
      </c>
      <c r="AB193" s="1111"/>
    </row>
    <row r="194" spans="1:29" x14ac:dyDescent="0.25">
      <c r="A194" s="194" t="str">
        <f t="shared" si="37"/>
        <v>S</v>
      </c>
      <c r="B194" s="194" t="str">
        <f t="shared" ref="B194:F194" si="76">IF(B27="","",B27)</f>
        <v/>
      </c>
      <c r="C194" s="463" t="str">
        <f t="shared" si="76"/>
        <v/>
      </c>
      <c r="D194" s="194" t="str">
        <f t="shared" si="76"/>
        <v/>
      </c>
      <c r="E194" s="194" t="str">
        <f t="shared" si="76"/>
        <v/>
      </c>
      <c r="F194" s="125" t="str">
        <f t="shared" si="76"/>
        <v/>
      </c>
      <c r="G194" s="753"/>
      <c r="H194" s="753"/>
      <c r="I194" s="1111" t="str">
        <f t="shared" si="41"/>
        <v/>
      </c>
      <c r="J194" s="1111"/>
      <c r="S194" s="194" t="str">
        <f t="shared" si="39"/>
        <v>S</v>
      </c>
      <c r="T194" s="194" t="str">
        <f t="shared" ref="T194:X194" si="77">IF(T27="","",T27)</f>
        <v/>
      </c>
      <c r="U194" s="463" t="str">
        <f t="shared" si="77"/>
        <v/>
      </c>
      <c r="V194" s="194" t="str">
        <f t="shared" si="77"/>
        <v/>
      </c>
      <c r="W194" s="194" t="str">
        <f t="shared" si="77"/>
        <v/>
      </c>
      <c r="X194" s="125" t="str">
        <f t="shared" si="77"/>
        <v/>
      </c>
      <c r="Y194" s="753"/>
      <c r="Z194" s="753"/>
      <c r="AA194" s="1111" t="str">
        <f t="shared" si="43"/>
        <v/>
      </c>
      <c r="AB194" s="1111"/>
    </row>
    <row r="195" spans="1:29" x14ac:dyDescent="0.25">
      <c r="A195" s="194" t="str">
        <f t="shared" si="37"/>
        <v>T</v>
      </c>
      <c r="B195" s="194" t="str">
        <f t="shared" ref="B195:F195" si="78">IF(B28="","",B28)</f>
        <v/>
      </c>
      <c r="C195" s="463" t="str">
        <f t="shared" si="78"/>
        <v/>
      </c>
      <c r="D195" s="194" t="str">
        <f t="shared" si="78"/>
        <v/>
      </c>
      <c r="E195" s="194" t="str">
        <f t="shared" si="78"/>
        <v/>
      </c>
      <c r="F195" s="125" t="str">
        <f t="shared" si="78"/>
        <v/>
      </c>
      <c r="G195" s="753"/>
      <c r="H195" s="753"/>
      <c r="I195" s="1111" t="str">
        <f t="shared" si="41"/>
        <v/>
      </c>
      <c r="J195" s="1111"/>
      <c r="S195" s="194" t="str">
        <f t="shared" si="39"/>
        <v>T</v>
      </c>
      <c r="T195" s="194" t="str">
        <f t="shared" ref="T195:X195" si="79">IF(T28="","",T28)</f>
        <v/>
      </c>
      <c r="U195" s="463" t="str">
        <f t="shared" si="79"/>
        <v/>
      </c>
      <c r="V195" s="194" t="str">
        <f t="shared" si="79"/>
        <v/>
      </c>
      <c r="W195" s="194" t="str">
        <f t="shared" si="79"/>
        <v/>
      </c>
      <c r="X195" s="125" t="str">
        <f t="shared" si="79"/>
        <v/>
      </c>
      <c r="Y195" s="753"/>
      <c r="Z195" s="753"/>
      <c r="AA195" s="1111" t="str">
        <f t="shared" si="43"/>
        <v/>
      </c>
      <c r="AB195" s="1111"/>
    </row>
    <row r="196" spans="1:29" x14ac:dyDescent="0.25">
      <c r="A196" s="194" t="str">
        <f t="shared" si="37"/>
        <v>U</v>
      </c>
      <c r="B196" s="194" t="str">
        <f t="shared" ref="B196:F196" si="80">IF(B29="","",B29)</f>
        <v/>
      </c>
      <c r="C196" s="463" t="str">
        <f t="shared" si="80"/>
        <v/>
      </c>
      <c r="D196" s="194" t="str">
        <f t="shared" si="80"/>
        <v/>
      </c>
      <c r="E196" s="194" t="str">
        <f t="shared" si="80"/>
        <v/>
      </c>
      <c r="F196" s="125" t="str">
        <f t="shared" si="80"/>
        <v/>
      </c>
      <c r="G196" s="753"/>
      <c r="H196" s="753"/>
      <c r="I196" s="1111" t="str">
        <f t="shared" si="41"/>
        <v/>
      </c>
      <c r="J196" s="1111"/>
      <c r="S196" s="194" t="str">
        <f t="shared" si="39"/>
        <v>U</v>
      </c>
      <c r="T196" s="194" t="str">
        <f t="shared" ref="T196:X196" si="81">IF(T29="","",T29)</f>
        <v/>
      </c>
      <c r="U196" s="463" t="str">
        <f t="shared" si="81"/>
        <v/>
      </c>
      <c r="V196" s="194" t="str">
        <f t="shared" si="81"/>
        <v/>
      </c>
      <c r="W196" s="194" t="str">
        <f t="shared" si="81"/>
        <v/>
      </c>
      <c r="X196" s="125" t="str">
        <f t="shared" si="81"/>
        <v/>
      </c>
      <c r="Y196" s="753"/>
      <c r="Z196" s="753"/>
      <c r="AA196" s="1111" t="str">
        <f t="shared" si="43"/>
        <v/>
      </c>
      <c r="AB196" s="1111"/>
    </row>
    <row r="197" spans="1:29" x14ac:dyDescent="0.25">
      <c r="A197" s="194" t="str">
        <f t="shared" si="37"/>
        <v>V</v>
      </c>
      <c r="B197" s="194" t="str">
        <f t="shared" ref="B197:F197" si="82">IF(B30="","",B30)</f>
        <v/>
      </c>
      <c r="C197" s="463" t="str">
        <f t="shared" si="82"/>
        <v/>
      </c>
      <c r="D197" s="194" t="str">
        <f t="shared" si="82"/>
        <v/>
      </c>
      <c r="E197" s="194" t="str">
        <f t="shared" si="82"/>
        <v/>
      </c>
      <c r="F197" s="125" t="str">
        <f t="shared" si="82"/>
        <v/>
      </c>
      <c r="G197" s="753"/>
      <c r="H197" s="753"/>
      <c r="I197" s="1111" t="str">
        <f t="shared" si="41"/>
        <v/>
      </c>
      <c r="J197" s="1111"/>
      <c r="S197" s="194" t="str">
        <f t="shared" si="39"/>
        <v>V</v>
      </c>
      <c r="T197" s="194" t="str">
        <f t="shared" ref="T197:X197" si="83">IF(T30="","",T30)</f>
        <v/>
      </c>
      <c r="U197" s="463" t="str">
        <f t="shared" si="83"/>
        <v/>
      </c>
      <c r="V197" s="194" t="str">
        <f t="shared" si="83"/>
        <v/>
      </c>
      <c r="W197" s="194" t="str">
        <f t="shared" si="83"/>
        <v/>
      </c>
      <c r="X197" s="125" t="str">
        <f t="shared" si="83"/>
        <v/>
      </c>
      <c r="Y197" s="753"/>
      <c r="Z197" s="753"/>
      <c r="AA197" s="1111" t="str">
        <f t="shared" si="43"/>
        <v/>
      </c>
      <c r="AB197" s="1111"/>
    </row>
    <row r="198" spans="1:29" x14ac:dyDescent="0.25">
      <c r="A198" s="194" t="str">
        <f t="shared" si="37"/>
        <v>W</v>
      </c>
      <c r="B198" s="194" t="str">
        <f t="shared" ref="B198:F198" si="84">IF(B31="","",B31)</f>
        <v/>
      </c>
      <c r="C198" s="463" t="str">
        <f t="shared" si="84"/>
        <v/>
      </c>
      <c r="D198" s="194" t="str">
        <f t="shared" si="84"/>
        <v/>
      </c>
      <c r="E198" s="194" t="str">
        <f t="shared" si="84"/>
        <v/>
      </c>
      <c r="F198" s="125" t="str">
        <f t="shared" si="84"/>
        <v/>
      </c>
      <c r="G198" s="753"/>
      <c r="H198" s="753"/>
      <c r="I198" s="1111" t="str">
        <f t="shared" si="41"/>
        <v/>
      </c>
      <c r="J198" s="1111"/>
      <c r="S198" s="194" t="str">
        <f t="shared" si="39"/>
        <v>W</v>
      </c>
      <c r="T198" s="194" t="str">
        <f t="shared" ref="T198:X198" si="85">IF(T31="","",T31)</f>
        <v/>
      </c>
      <c r="U198" s="463" t="str">
        <f t="shared" si="85"/>
        <v/>
      </c>
      <c r="V198" s="194" t="str">
        <f t="shared" si="85"/>
        <v/>
      </c>
      <c r="W198" s="194" t="str">
        <f t="shared" si="85"/>
        <v/>
      </c>
      <c r="X198" s="125" t="str">
        <f t="shared" si="85"/>
        <v/>
      </c>
      <c r="Y198" s="753"/>
      <c r="Z198" s="753"/>
      <c r="AA198" s="1111" t="str">
        <f t="shared" si="43"/>
        <v/>
      </c>
      <c r="AB198" s="1111"/>
    </row>
    <row r="199" spans="1:29" x14ac:dyDescent="0.25">
      <c r="A199" s="194" t="str">
        <f t="shared" si="37"/>
        <v>X</v>
      </c>
      <c r="B199" s="194" t="str">
        <f t="shared" ref="B199:F199" si="86">IF(B32="","",B32)</f>
        <v/>
      </c>
      <c r="C199" s="463" t="str">
        <f t="shared" si="86"/>
        <v/>
      </c>
      <c r="D199" s="194" t="str">
        <f t="shared" si="86"/>
        <v/>
      </c>
      <c r="E199" s="194" t="str">
        <f t="shared" si="86"/>
        <v/>
      </c>
      <c r="F199" s="125" t="str">
        <f t="shared" si="86"/>
        <v/>
      </c>
      <c r="G199" s="753"/>
      <c r="H199" s="753"/>
      <c r="I199" s="1111" t="str">
        <f t="shared" si="41"/>
        <v/>
      </c>
      <c r="J199" s="1111"/>
      <c r="S199" s="194" t="str">
        <f t="shared" si="39"/>
        <v>X</v>
      </c>
      <c r="T199" s="194" t="str">
        <f t="shared" ref="T199:X199" si="87">IF(T32="","",T32)</f>
        <v/>
      </c>
      <c r="U199" s="463" t="str">
        <f t="shared" si="87"/>
        <v/>
      </c>
      <c r="V199" s="194" t="str">
        <f t="shared" si="87"/>
        <v/>
      </c>
      <c r="W199" s="194" t="str">
        <f t="shared" si="87"/>
        <v/>
      </c>
      <c r="X199" s="125" t="str">
        <f t="shared" si="87"/>
        <v/>
      </c>
      <c r="Y199" s="753"/>
      <c r="Z199" s="753"/>
      <c r="AA199" s="1111" t="str">
        <f t="shared" si="43"/>
        <v/>
      </c>
      <c r="AB199" s="1111"/>
    </row>
    <row r="200" spans="1:29" x14ac:dyDescent="0.25">
      <c r="A200" s="194" t="str">
        <f t="shared" si="37"/>
        <v>Y</v>
      </c>
      <c r="B200" s="194" t="str">
        <f t="shared" ref="B200:F200" si="88">IF(B33="","",B33)</f>
        <v/>
      </c>
      <c r="C200" s="463" t="str">
        <f t="shared" si="88"/>
        <v/>
      </c>
      <c r="D200" s="194" t="str">
        <f t="shared" si="88"/>
        <v/>
      </c>
      <c r="E200" s="194" t="str">
        <f t="shared" si="88"/>
        <v/>
      </c>
      <c r="F200" s="125" t="str">
        <f t="shared" si="88"/>
        <v/>
      </c>
      <c r="G200" s="753"/>
      <c r="H200" s="753"/>
      <c r="I200" s="1111" t="str">
        <f t="shared" si="41"/>
        <v/>
      </c>
      <c r="J200" s="1111"/>
      <c r="S200" s="194" t="str">
        <f t="shared" si="39"/>
        <v>Y</v>
      </c>
      <c r="T200" s="194" t="str">
        <f t="shared" ref="T200:X200" si="89">IF(T33="","",T33)</f>
        <v/>
      </c>
      <c r="U200" s="463" t="str">
        <f t="shared" si="89"/>
        <v/>
      </c>
      <c r="V200" s="194" t="str">
        <f t="shared" si="89"/>
        <v/>
      </c>
      <c r="W200" s="194" t="str">
        <f t="shared" si="89"/>
        <v/>
      </c>
      <c r="X200" s="125" t="str">
        <f t="shared" si="89"/>
        <v/>
      </c>
      <c r="Y200" s="753"/>
      <c r="Z200" s="753"/>
      <c r="AA200" s="1111" t="str">
        <f t="shared" si="43"/>
        <v/>
      </c>
      <c r="AB200" s="1111"/>
    </row>
    <row r="201" spans="1:29" x14ac:dyDescent="0.25">
      <c r="A201" s="194" t="str">
        <f t="shared" si="37"/>
        <v>Z</v>
      </c>
      <c r="B201" s="194" t="str">
        <f t="shared" ref="B201:F201" si="90">IF(B34="","",B34)</f>
        <v/>
      </c>
      <c r="C201" s="463" t="str">
        <f t="shared" si="90"/>
        <v/>
      </c>
      <c r="D201" s="194" t="str">
        <f t="shared" si="90"/>
        <v/>
      </c>
      <c r="E201" s="467" t="str">
        <f t="shared" si="90"/>
        <v/>
      </c>
      <c r="F201" s="474" t="str">
        <f t="shared" si="90"/>
        <v/>
      </c>
      <c r="G201" s="1112"/>
      <c r="H201" s="1112"/>
      <c r="I201" s="1110" t="str">
        <f t="shared" si="41"/>
        <v/>
      </c>
      <c r="J201" s="1110"/>
      <c r="S201" s="194" t="str">
        <f t="shared" si="39"/>
        <v>Z</v>
      </c>
      <c r="T201" s="194" t="str">
        <f t="shared" ref="T201:X201" si="91">IF(T34="","",T34)</f>
        <v/>
      </c>
      <c r="U201" s="463" t="str">
        <f t="shared" si="91"/>
        <v/>
      </c>
      <c r="V201" s="194" t="str">
        <f t="shared" si="91"/>
        <v/>
      </c>
      <c r="W201" s="467" t="str">
        <f t="shared" si="91"/>
        <v/>
      </c>
      <c r="X201" s="474" t="str">
        <f t="shared" si="91"/>
        <v/>
      </c>
      <c r="Y201" s="1112"/>
      <c r="Z201" s="1112"/>
      <c r="AA201" s="1110" t="str">
        <f t="shared" si="43"/>
        <v/>
      </c>
      <c r="AB201" s="1110"/>
    </row>
    <row r="202" spans="1:29" x14ac:dyDescent="0.25">
      <c r="A202" s="188"/>
      <c r="B202" s="147"/>
      <c r="C202" s="420"/>
      <c r="D202" s="147"/>
      <c r="E202" s="789" t="s">
        <v>765</v>
      </c>
      <c r="F202" s="891"/>
      <c r="G202" s="1101">
        <f>SUM(G176:H201)</f>
        <v>0</v>
      </c>
      <c r="H202" s="1101"/>
      <c r="I202" s="468"/>
      <c r="J202" s="469"/>
      <c r="S202" s="188"/>
      <c r="T202" s="147"/>
      <c r="U202" s="420"/>
      <c r="V202" s="147"/>
      <c r="W202" s="789" t="s">
        <v>765</v>
      </c>
      <c r="X202" s="891"/>
      <c r="Y202" s="1101">
        <f>SUM(Y176:Z201)</f>
        <v>0</v>
      </c>
      <c r="Z202" s="1101"/>
      <c r="AA202" s="468"/>
      <c r="AB202" s="469"/>
    </row>
    <row r="203" spans="1:29" x14ac:dyDescent="0.25">
      <c r="A203" s="147"/>
      <c r="B203" s="147"/>
      <c r="C203" s="147"/>
      <c r="D203" s="147"/>
      <c r="E203" s="789" t="s">
        <v>823</v>
      </c>
      <c r="F203" s="790"/>
      <c r="G203" s="790"/>
      <c r="H203" s="891"/>
      <c r="I203" s="1110">
        <f>IF(J204="Yes",MAX(I176:J201),"")</f>
        <v>0</v>
      </c>
      <c r="J203" s="1110"/>
      <c r="K203" s="319" t="str">
        <f>IF(K204="STOP","Use Hybrid Method","")</f>
        <v/>
      </c>
      <c r="S203" s="147"/>
      <c r="T203" s="147"/>
      <c r="U203" s="147"/>
      <c r="V203" s="147"/>
      <c r="W203" s="789" t="s">
        <v>1007</v>
      </c>
      <c r="X203" s="790"/>
      <c r="Y203" s="790"/>
      <c r="Z203" s="891"/>
      <c r="AA203" s="1110">
        <f>IF(AB204="Yes",MAX(AA176:AB201),"")</f>
        <v>0</v>
      </c>
      <c r="AB203" s="1110"/>
      <c r="AC203" s="319" t="str">
        <f>IF(AC204="STOP","Use Hybrid Method","")</f>
        <v/>
      </c>
    </row>
    <row r="204" spans="1:29" x14ac:dyDescent="0.25">
      <c r="E204" s="878" t="s">
        <v>855</v>
      </c>
      <c r="F204" s="878"/>
      <c r="G204" s="878"/>
      <c r="H204" s="878"/>
      <c r="I204" s="878"/>
      <c r="J204" s="194" t="str">
        <f>IF(MIN(I176:J201)=MAX(I176:J201),"Yes","No")</f>
        <v>Yes</v>
      </c>
      <c r="K204" s="194" t="str">
        <f>IF(J204="Yes","Continue","STOP")</f>
        <v>Continue</v>
      </c>
      <c r="W204" s="878" t="s">
        <v>855</v>
      </c>
      <c r="X204" s="878"/>
      <c r="Y204" s="878"/>
      <c r="Z204" s="878"/>
      <c r="AA204" s="878"/>
      <c r="AB204" s="194" t="str">
        <f>IF(MIN(AA176:AB201)=MAX(AA176:AB201),"Yes","No")</f>
        <v>Yes</v>
      </c>
      <c r="AC204" s="194" t="str">
        <f>IF(AB204="Yes","Continue","STOP")</f>
        <v>Continue</v>
      </c>
    </row>
    <row r="205" spans="1:29" x14ac:dyDescent="0.25">
      <c r="B205" s="878" t="s">
        <v>857</v>
      </c>
      <c r="C205" s="878"/>
      <c r="D205" s="878"/>
      <c r="E205" s="878"/>
      <c r="F205" s="878"/>
      <c r="G205" s="878"/>
      <c r="H205" s="878"/>
      <c r="I205" s="878"/>
      <c r="J205" s="878"/>
      <c r="K205" s="465">
        <f>IFERROR(I203*H48,0)</f>
        <v>0</v>
      </c>
      <c r="T205" s="878" t="s">
        <v>1008</v>
      </c>
      <c r="U205" s="878"/>
      <c r="V205" s="878"/>
      <c r="W205" s="878"/>
      <c r="X205" s="878"/>
      <c r="Y205" s="878"/>
      <c r="Z205" s="878"/>
      <c r="AA205" s="878"/>
      <c r="AB205" s="878"/>
      <c r="AC205" s="465">
        <f>IFERROR(AA203*Z48,0)</f>
        <v>0</v>
      </c>
    </row>
    <row r="206" spans="1:29" x14ac:dyDescent="0.25">
      <c r="B206" s="878" t="s">
        <v>815</v>
      </c>
      <c r="C206" s="878"/>
      <c r="D206" s="878"/>
      <c r="E206" s="878"/>
      <c r="F206" s="878"/>
      <c r="G206" s="878"/>
      <c r="H206" s="878"/>
      <c r="I206" s="878"/>
      <c r="J206" s="878"/>
      <c r="K206" s="122">
        <f>IF($I$53="Yes",C52,0)</f>
        <v>0</v>
      </c>
      <c r="T206" s="878" t="s">
        <v>998</v>
      </c>
      <c r="U206" s="878"/>
      <c r="V206" s="878"/>
      <c r="W206" s="878"/>
      <c r="X206" s="878"/>
      <c r="Y206" s="878"/>
      <c r="Z206" s="878"/>
      <c r="AA206" s="878"/>
      <c r="AB206" s="878"/>
      <c r="AC206" s="122">
        <f>IF(AA53="Yes",U52,0)</f>
        <v>0</v>
      </c>
    </row>
    <row r="207" spans="1:29" ht="15.75" x14ac:dyDescent="0.25">
      <c r="B207" s="674" t="s">
        <v>816</v>
      </c>
      <c r="C207" s="674"/>
      <c r="D207" s="674"/>
      <c r="E207" s="674"/>
      <c r="F207" s="674"/>
      <c r="G207" s="674"/>
      <c r="H207" s="674"/>
      <c r="I207" s="674"/>
      <c r="J207" s="674"/>
      <c r="K207" s="466">
        <f>SUM(K205:K206)</f>
        <v>0</v>
      </c>
      <c r="T207" s="674" t="s">
        <v>989</v>
      </c>
      <c r="U207" s="674"/>
      <c r="V207" s="674"/>
      <c r="W207" s="674"/>
      <c r="X207" s="674"/>
      <c r="Y207" s="674"/>
      <c r="Z207" s="674"/>
      <c r="AA207" s="674"/>
      <c r="AB207" s="674"/>
      <c r="AC207" s="466">
        <f>SUM(AC205:AC206)</f>
        <v>0</v>
      </c>
    </row>
    <row r="208" spans="1:29" x14ac:dyDescent="0.25">
      <c r="K208" s="147"/>
      <c r="AC208" s="147"/>
    </row>
    <row r="209" spans="1:29" ht="18.75" x14ac:dyDescent="0.3">
      <c r="A209" s="805" t="s">
        <v>994</v>
      </c>
      <c r="B209" s="805"/>
      <c r="C209" s="805"/>
      <c r="D209" s="805"/>
      <c r="E209" s="805"/>
      <c r="F209" s="805"/>
      <c r="G209" s="805"/>
      <c r="H209" s="805"/>
      <c r="I209" s="805"/>
      <c r="J209" s="805"/>
      <c r="K209" s="805"/>
      <c r="S209" s="805" t="s">
        <v>995</v>
      </c>
      <c r="T209" s="805"/>
      <c r="U209" s="805"/>
      <c r="V209" s="805"/>
      <c r="W209" s="805"/>
      <c r="X209" s="805"/>
      <c r="Y209" s="805"/>
      <c r="Z209" s="805"/>
      <c r="AA209" s="805"/>
      <c r="AB209" s="805"/>
      <c r="AC209" s="805"/>
    </row>
    <row r="210" spans="1:29" x14ac:dyDescent="0.25">
      <c r="C210" s="433" t="s">
        <v>846</v>
      </c>
      <c r="D210" s="655" t="s">
        <v>40</v>
      </c>
      <c r="E210" s="655"/>
      <c r="F210" s="655" t="s">
        <v>818</v>
      </c>
      <c r="G210" s="655"/>
      <c r="H210" s="655"/>
      <c r="I210" s="655" t="s">
        <v>819</v>
      </c>
      <c r="J210" s="655"/>
      <c r="U210" s="433" t="s">
        <v>1000</v>
      </c>
      <c r="V210" s="655" t="s">
        <v>40</v>
      </c>
      <c r="W210" s="655"/>
      <c r="X210" s="655" t="s">
        <v>818</v>
      </c>
      <c r="Y210" s="655"/>
      <c r="Z210" s="655"/>
      <c r="AA210" s="655" t="s">
        <v>819</v>
      </c>
      <c r="AB210" s="655"/>
    </row>
    <row r="211" spans="1:29" x14ac:dyDescent="0.25">
      <c r="C211" s="462">
        <f>SUMIF(D176:D201,D211,G176:H201)</f>
        <v>0</v>
      </c>
      <c r="D211" s="926" t="s">
        <v>57</v>
      </c>
      <c r="E211" s="926"/>
      <c r="F211" s="1099" cm="1">
        <f t="array" aca="1" ref="F211" ca="1">IF($B$4=(INDIRECT("'"&amp;$C$46&amp;"'!$C$64")),INDIRECT("'"&amp;$C$46&amp;"'!$C$65"),INDIRECT("'"&amp;$C$46&amp;"'!$B$65"))</f>
        <v>191973.6</v>
      </c>
      <c r="G211" s="1099"/>
      <c r="H211" s="1099"/>
      <c r="I211" s="1099">
        <f ca="1">C211*F211</f>
        <v>0</v>
      </c>
      <c r="J211" s="1099"/>
      <c r="U211" s="462">
        <f>SUMIF(V176:V201,V211,Y176:Z201)</f>
        <v>0</v>
      </c>
      <c r="V211" s="926" t="s">
        <v>57</v>
      </c>
      <c r="W211" s="926"/>
      <c r="X211" s="1099" cm="1">
        <f t="array" aca="1" ref="X211" ca="1">IF($T$4=(INDIRECT("'"&amp;$U$46&amp;"'!$C$64")),INDIRECT("'"&amp;$U$46&amp;"'!$C$65"),INDIRECT("'"&amp;$U$46&amp;"'!$B$65"))</f>
        <v>191973.6</v>
      </c>
      <c r="Y211" s="1099"/>
      <c r="Z211" s="1099"/>
      <c r="AA211" s="1099">
        <f ca="1">U211*X211</f>
        <v>0</v>
      </c>
      <c r="AB211" s="1099"/>
    </row>
    <row r="212" spans="1:29" x14ac:dyDescent="0.25">
      <c r="C212" s="462">
        <f>SUMIF(D176:D201,D212,G176:H201)</f>
        <v>0</v>
      </c>
      <c r="D212" s="926">
        <v>1</v>
      </c>
      <c r="E212" s="926"/>
      <c r="F212" s="1099" cm="1">
        <f t="array" aca="1" ref="F212" ca="1">IF($B$4=(INDIRECT("'"&amp;$C$46&amp;"'!$C$64")),INDIRECT("'"&amp;$C$46&amp;"'!$C$66"),INDIRECT("'"&amp;$C$46&amp;"'!$B$66"))</f>
        <v>220068</v>
      </c>
      <c r="G212" s="1099"/>
      <c r="H212" s="1099"/>
      <c r="I212" s="1099">
        <f ca="1">C212*F212</f>
        <v>0</v>
      </c>
      <c r="J212" s="1099"/>
      <c r="U212" s="462">
        <f>SUMIF(V176:V201,V212,Y176:Z201)</f>
        <v>0</v>
      </c>
      <c r="V212" s="926">
        <v>1</v>
      </c>
      <c r="W212" s="926"/>
      <c r="X212" s="1099" cm="1">
        <f t="array" aca="1" ref="X212" ca="1">IF($T$4=(INDIRECT("'"&amp;$U$46&amp;"'!$C$64")),INDIRECT("'"&amp;$U$46&amp;"'!$C$66"),INDIRECT("'"&amp;$U$46&amp;"'!$B$66"))</f>
        <v>220068</v>
      </c>
      <c r="Y212" s="1099"/>
      <c r="Z212" s="1099"/>
      <c r="AA212" s="1099">
        <f ca="1">U212*X212</f>
        <v>0</v>
      </c>
      <c r="AB212" s="1099"/>
    </row>
    <row r="213" spans="1:29" x14ac:dyDescent="0.25">
      <c r="C213" s="462">
        <f>SUMIF(D176:D201,D213,G176:H201)</f>
        <v>0</v>
      </c>
      <c r="D213" s="926">
        <v>2</v>
      </c>
      <c r="E213" s="926"/>
      <c r="F213" s="1099" cm="1">
        <f t="array" aca="1" ref="F213" ca="1">IF($B$4=(INDIRECT("'"&amp;$C$46&amp;"'!$C$64")),INDIRECT("'"&amp;$C$46&amp;"'!$C$67"),INDIRECT("'"&amp;$C$46&amp;"'!$B$67"))</f>
        <v>267609.59999999998</v>
      </c>
      <c r="G213" s="1099"/>
      <c r="H213" s="1099"/>
      <c r="I213" s="1099">
        <f ca="1">C213*F213</f>
        <v>0</v>
      </c>
      <c r="J213" s="1099"/>
      <c r="U213" s="462">
        <f>SUMIF(V176:V201,V213,Y176:Z201)</f>
        <v>0</v>
      </c>
      <c r="V213" s="926">
        <v>2</v>
      </c>
      <c r="W213" s="926"/>
      <c r="X213" s="1099" cm="1">
        <f t="array" aca="1" ref="X213" ca="1">IF($T$4=(INDIRECT("'"&amp;$U$46&amp;"'!$C$64")),INDIRECT("'"&amp;$U$46&amp;"'!$C$67"),INDIRECT("'"&amp;$U$46&amp;"'!$B$67"))</f>
        <v>267609.59999999998</v>
      </c>
      <c r="Y213" s="1099"/>
      <c r="Z213" s="1099"/>
      <c r="AA213" s="1099">
        <f ca="1">U213*X213</f>
        <v>0</v>
      </c>
      <c r="AB213" s="1099"/>
    </row>
    <row r="214" spans="1:29" x14ac:dyDescent="0.25">
      <c r="C214" s="462">
        <f>SUMIF(D176:D201,D214,G176:H201)</f>
        <v>0</v>
      </c>
      <c r="D214" s="926">
        <v>3</v>
      </c>
      <c r="E214" s="926"/>
      <c r="F214" s="1099" cm="1">
        <f t="array" aca="1" ref="F214" ca="1">IF($B$4=(INDIRECT("'"&amp;$C$46&amp;"'!$C$64")),INDIRECT("'"&amp;$C$46&amp;"'!$C$68"),INDIRECT("'"&amp;$C$46&amp;"'!$B$68"))</f>
        <v>346202.39999999997</v>
      </c>
      <c r="G214" s="1099"/>
      <c r="H214" s="1099"/>
      <c r="I214" s="1099">
        <f ca="1">C214*F214</f>
        <v>0</v>
      </c>
      <c r="J214" s="1099"/>
      <c r="U214" s="462">
        <f>SUMIF(V176:V201,V214,Y176:Z201)</f>
        <v>0</v>
      </c>
      <c r="V214" s="926">
        <v>3</v>
      </c>
      <c r="W214" s="926"/>
      <c r="X214" s="1099" cm="1">
        <f t="array" aca="1" ref="X214" ca="1">IF($T$4=(INDIRECT("'"&amp;$U$46&amp;"'!$C$64")),INDIRECT("'"&amp;$U$46&amp;"'!$C$68"),INDIRECT("'"&amp;$U$46&amp;"'!$B$68"))</f>
        <v>346202.39999999997</v>
      </c>
      <c r="Y214" s="1099"/>
      <c r="Z214" s="1099"/>
      <c r="AA214" s="1099">
        <f ca="1">U214*X214</f>
        <v>0</v>
      </c>
      <c r="AB214" s="1099"/>
    </row>
    <row r="215" spans="1:29" x14ac:dyDescent="0.25">
      <c r="C215" s="462">
        <f>SUMIF(D176:D201,D215,G176:H201)</f>
        <v>0</v>
      </c>
      <c r="D215" s="926">
        <v>4</v>
      </c>
      <c r="E215" s="926"/>
      <c r="F215" s="1099" cm="1">
        <f t="array" aca="1" ref="F215" ca="1">IF($B$4=(INDIRECT("'"&amp;$C$46&amp;"'!$C$64")),INDIRECT("'"&amp;$C$46&amp;"'!$C$69"),INDIRECT("'"&amp;$C$46&amp;"'!$B$69"))</f>
        <v>380018.39999999997</v>
      </c>
      <c r="G215" s="1099"/>
      <c r="H215" s="1099"/>
      <c r="I215" s="1099">
        <f ca="1">C215*F215</f>
        <v>0</v>
      </c>
      <c r="J215" s="1099"/>
      <c r="U215" s="462">
        <f>SUMIF(V176:V201,V215,Y176:Z201)</f>
        <v>0</v>
      </c>
      <c r="V215" s="926">
        <v>4</v>
      </c>
      <c r="W215" s="926"/>
      <c r="X215" s="1099" cm="1">
        <f t="array" aca="1" ref="X215" ca="1">IF($T$4=(INDIRECT("'"&amp;$U$46&amp;"'!$C$64")),INDIRECT("'"&amp;$U$46&amp;"'!$C$69"),INDIRECT("'"&amp;$U$46&amp;"'!$B$69"))</f>
        <v>380018.39999999997</v>
      </c>
      <c r="Y215" s="1099"/>
      <c r="Z215" s="1099"/>
      <c r="AA215" s="1099">
        <f ca="1">U215*X215</f>
        <v>0</v>
      </c>
      <c r="AB215" s="1099"/>
    </row>
    <row r="216" spans="1:29" ht="15.75" x14ac:dyDescent="0.25">
      <c r="H216" s="718" t="s">
        <v>817</v>
      </c>
      <c r="I216" s="719"/>
      <c r="J216" s="720"/>
      <c r="K216" s="466">
        <f ca="1">SUM(I211:J215)</f>
        <v>0</v>
      </c>
      <c r="Z216" s="718" t="s">
        <v>817</v>
      </c>
      <c r="AA216" s="719"/>
      <c r="AB216" s="720"/>
      <c r="AC216" s="466">
        <f ca="1">SUM(AA211:AB215)</f>
        <v>0</v>
      </c>
    </row>
    <row r="218" spans="1:29" ht="18.75" x14ac:dyDescent="0.3">
      <c r="A218" s="805" t="s">
        <v>820</v>
      </c>
      <c r="B218" s="805"/>
      <c r="C218" s="805"/>
      <c r="D218" s="805"/>
      <c r="E218" s="805"/>
      <c r="F218" s="805"/>
      <c r="G218" s="805"/>
      <c r="H218" s="805"/>
      <c r="I218" s="805"/>
      <c r="J218" s="805"/>
      <c r="K218" s="805"/>
      <c r="S218" s="805" t="s">
        <v>996</v>
      </c>
      <c r="T218" s="805"/>
      <c r="U218" s="805"/>
      <c r="V218" s="805"/>
      <c r="W218" s="805"/>
      <c r="X218" s="805"/>
      <c r="Y218" s="805"/>
      <c r="Z218" s="805"/>
      <c r="AA218" s="805"/>
      <c r="AB218" s="805"/>
      <c r="AC218" s="805"/>
    </row>
    <row r="219" spans="1:29" x14ac:dyDescent="0.25">
      <c r="B219" s="945" t="s">
        <v>821</v>
      </c>
      <c r="C219" s="945"/>
      <c r="D219" s="945"/>
      <c r="E219" s="945"/>
      <c r="F219" s="945"/>
      <c r="G219" s="945"/>
      <c r="H219" s="1100" t="s">
        <v>856</v>
      </c>
      <c r="I219" s="1100"/>
      <c r="J219" s="1100"/>
      <c r="T219" s="945" t="s">
        <v>997</v>
      </c>
      <c r="U219" s="945"/>
      <c r="V219" s="945"/>
      <c r="W219" s="945"/>
      <c r="X219" s="945"/>
      <c r="Y219" s="945"/>
      <c r="Z219" s="1100" t="s">
        <v>856</v>
      </c>
      <c r="AA219" s="1100"/>
      <c r="AB219" s="1100"/>
    </row>
    <row r="220" spans="1:29" x14ac:dyDescent="0.25">
      <c r="B220" s="945" t="s">
        <v>816</v>
      </c>
      <c r="C220" s="945"/>
      <c r="D220" s="945"/>
      <c r="E220" s="945"/>
      <c r="F220" s="945"/>
      <c r="G220" s="945"/>
      <c r="H220" s="1099">
        <f>K207</f>
        <v>0</v>
      </c>
      <c r="I220" s="1099"/>
      <c r="J220" s="1099"/>
      <c r="T220" s="945" t="s">
        <v>989</v>
      </c>
      <c r="U220" s="945"/>
      <c r="V220" s="945"/>
      <c r="W220" s="945"/>
      <c r="X220" s="945"/>
      <c r="Y220" s="945"/>
      <c r="Z220" s="1099">
        <f>AC207</f>
        <v>0</v>
      </c>
      <c r="AA220" s="1099"/>
      <c r="AB220" s="1099"/>
    </row>
    <row r="221" spans="1:29" x14ac:dyDescent="0.25">
      <c r="B221" s="945" t="s">
        <v>817</v>
      </c>
      <c r="C221" s="945"/>
      <c r="D221" s="945"/>
      <c r="E221" s="945"/>
      <c r="F221" s="945"/>
      <c r="G221" s="945"/>
      <c r="H221" s="1099">
        <f ca="1">K216</f>
        <v>0</v>
      </c>
      <c r="I221" s="1099"/>
      <c r="J221" s="1099"/>
      <c r="T221" s="945" t="s">
        <v>817</v>
      </c>
      <c r="U221" s="945"/>
      <c r="V221" s="945"/>
      <c r="W221" s="945"/>
      <c r="X221" s="945"/>
      <c r="Y221" s="945"/>
      <c r="Z221" s="1099">
        <f ca="1">AC216</f>
        <v>0</v>
      </c>
      <c r="AA221" s="1099"/>
      <c r="AB221" s="1099"/>
    </row>
    <row r="222" spans="1:29" ht="15.75" x14ac:dyDescent="0.25">
      <c r="H222" s="674" t="s">
        <v>822</v>
      </c>
      <c r="I222" s="674"/>
      <c r="J222" s="674"/>
      <c r="K222" s="466">
        <f ca="1">MIN(H220,H221)</f>
        <v>0</v>
      </c>
      <c r="Z222" s="674" t="s">
        <v>1003</v>
      </c>
      <c r="AA222" s="674"/>
      <c r="AB222" s="674"/>
      <c r="AC222" s="466">
        <f ca="1">MIN(Z220,Z221)</f>
        <v>0</v>
      </c>
    </row>
    <row r="224" spans="1:29" ht="23.25" x14ac:dyDescent="0.35">
      <c r="A224" s="1106" t="s">
        <v>858</v>
      </c>
      <c r="B224" s="1106"/>
      <c r="C224" s="1106"/>
      <c r="D224" s="1106"/>
      <c r="E224" s="1106"/>
      <c r="F224" s="1106"/>
      <c r="G224" s="1106"/>
      <c r="H224" s="1106"/>
      <c r="I224" s="1106"/>
      <c r="J224" s="1106"/>
      <c r="K224" s="1106"/>
      <c r="S224" s="1106" t="s">
        <v>1009</v>
      </c>
      <c r="T224" s="1106"/>
      <c r="U224" s="1106"/>
      <c r="V224" s="1106"/>
      <c r="W224" s="1106"/>
      <c r="X224" s="1106"/>
      <c r="Y224" s="1106"/>
      <c r="Z224" s="1106"/>
      <c r="AA224" s="1106"/>
      <c r="AB224" s="1106"/>
      <c r="AC224" s="1106"/>
    </row>
    <row r="225" spans="1:35" ht="5.0999999999999996" customHeight="1" x14ac:dyDescent="0.25"/>
    <row r="226" spans="1:35" ht="30" customHeight="1" x14ac:dyDescent="0.25">
      <c r="A226" s="445" t="s">
        <v>488</v>
      </c>
      <c r="B226" s="445" t="s">
        <v>825</v>
      </c>
      <c r="C226" s="445" t="s">
        <v>848</v>
      </c>
      <c r="D226" s="445" t="s">
        <v>770</v>
      </c>
      <c r="E226" s="445" t="s">
        <v>771</v>
      </c>
      <c r="F226" s="445" t="s">
        <v>826</v>
      </c>
      <c r="G226" s="1107" t="s">
        <v>853</v>
      </c>
      <c r="H226" s="1108"/>
      <c r="I226" s="1109" t="s">
        <v>850</v>
      </c>
      <c r="J226" s="1109"/>
      <c r="K226" s="445" t="s">
        <v>849</v>
      </c>
      <c r="M226" s="470" t="s">
        <v>860</v>
      </c>
      <c r="N226" s="470" t="s">
        <v>862</v>
      </c>
      <c r="O226" s="470" t="s">
        <v>863</v>
      </c>
      <c r="P226" s="470" t="s">
        <v>861</v>
      </c>
      <c r="Q226" s="470" t="s">
        <v>864</v>
      </c>
      <c r="S226" s="445" t="s">
        <v>488</v>
      </c>
      <c r="T226" s="445" t="s">
        <v>825</v>
      </c>
      <c r="U226" s="445" t="s">
        <v>848</v>
      </c>
      <c r="V226" s="445" t="s">
        <v>770</v>
      </c>
      <c r="W226" s="445" t="s">
        <v>771</v>
      </c>
      <c r="X226" s="445" t="s">
        <v>826</v>
      </c>
      <c r="Y226" s="1107" t="s">
        <v>1004</v>
      </c>
      <c r="Z226" s="1108"/>
      <c r="AA226" s="1109" t="s">
        <v>850</v>
      </c>
      <c r="AB226" s="1109"/>
      <c r="AC226" s="445" t="s">
        <v>1002</v>
      </c>
      <c r="AE226" s="470" t="s">
        <v>1010</v>
      </c>
      <c r="AF226" s="470" t="s">
        <v>862</v>
      </c>
      <c r="AG226" s="470" t="s">
        <v>863</v>
      </c>
      <c r="AH226" s="470" t="s">
        <v>861</v>
      </c>
      <c r="AI226" s="470" t="s">
        <v>1011</v>
      </c>
    </row>
    <row r="227" spans="1:35" x14ac:dyDescent="0.25">
      <c r="A227" s="194" t="str">
        <f t="shared" ref="A227:A252" si="92">A9</f>
        <v>A</v>
      </c>
      <c r="B227" s="194" t="str">
        <f>IF(B9="","",B9)</f>
        <v/>
      </c>
      <c r="C227" s="463" t="str">
        <f>IF(C9="","",C9)</f>
        <v/>
      </c>
      <c r="D227" s="194" t="str">
        <f>IF(D9="","",D9)</f>
        <v/>
      </c>
      <c r="E227" s="194" t="str">
        <f>IF(E9="","",E9)</f>
        <v/>
      </c>
      <c r="F227" s="125" t="str">
        <f>IF(F9="","",F9)</f>
        <v/>
      </c>
      <c r="G227" s="753"/>
      <c r="H227" s="753"/>
      <c r="I227" s="1105">
        <f>IFERROR(IF(F227="",0,F227*$H$49),"")</f>
        <v>0</v>
      </c>
      <c r="J227" s="1105"/>
      <c r="K227" s="122">
        <f>IFERROR(G227*I227,"")</f>
        <v>0</v>
      </c>
      <c r="M227">
        <f>IFERROR(Q227*B227,0)</f>
        <v>0</v>
      </c>
      <c r="N227" s="147">
        <f>ROUNDUP(M227,0)</f>
        <v>0</v>
      </c>
      <c r="O227" s="147">
        <f>ROUNDDOWN(M227,0)</f>
        <v>0</v>
      </c>
      <c r="P227" t="b">
        <f>OR(G227=N227,G227=O227)</f>
        <v>1</v>
      </c>
      <c r="Q227" s="471" t="e">
        <f>G253/B35</f>
        <v>#DIV/0!</v>
      </c>
      <c r="S227" s="194" t="str">
        <f t="shared" ref="S227:S252" si="93">S9</f>
        <v>A</v>
      </c>
      <c r="T227" s="194" t="str">
        <f>IF(T9="","",T9)</f>
        <v/>
      </c>
      <c r="U227" s="463" t="str">
        <f>IF(U9="","",U9)</f>
        <v/>
      </c>
      <c r="V227" s="194" t="str">
        <f>IF(V9="","",V9)</f>
        <v/>
      </c>
      <c r="W227" s="194" t="str">
        <f>IF(W9="","",W9)</f>
        <v/>
      </c>
      <c r="X227" s="125" t="str">
        <f>IF(X9="","",X9)</f>
        <v/>
      </c>
      <c r="Y227" s="753"/>
      <c r="Z227" s="753"/>
      <c r="AA227" s="1105">
        <f>IFERROR(IF(X227="",0,X227*$Z$49),"")</f>
        <v>0</v>
      </c>
      <c r="AB227" s="1105"/>
      <c r="AC227" s="122">
        <f>IFERROR(Y227*AA227,"")</f>
        <v>0</v>
      </c>
      <c r="AE227">
        <f>IFERROR(AI227*T227,0)</f>
        <v>0</v>
      </c>
      <c r="AF227" s="147">
        <f>ROUNDUP(AE227,0)</f>
        <v>0</v>
      </c>
      <c r="AG227" s="147">
        <f>ROUNDDOWN(AE227,0)</f>
        <v>0</v>
      </c>
      <c r="AH227" t="b">
        <f>OR(Y227=AF227,Y227=AG227)</f>
        <v>1</v>
      </c>
      <c r="AI227" s="471" t="e">
        <f>Y253/T35</f>
        <v>#DIV/0!</v>
      </c>
    </row>
    <row r="228" spans="1:35" x14ac:dyDescent="0.25">
      <c r="A228" s="194" t="str">
        <f t="shared" si="92"/>
        <v>B</v>
      </c>
      <c r="B228" s="194" t="str">
        <f t="shared" ref="B228:F228" si="94">IF(B10="","",B10)</f>
        <v/>
      </c>
      <c r="C228" s="463" t="str">
        <f t="shared" si="94"/>
        <v/>
      </c>
      <c r="D228" s="194" t="str">
        <f t="shared" si="94"/>
        <v/>
      </c>
      <c r="E228" s="194" t="str">
        <f t="shared" si="94"/>
        <v/>
      </c>
      <c r="F228" s="125" t="str">
        <f t="shared" si="94"/>
        <v/>
      </c>
      <c r="G228" s="753"/>
      <c r="H228" s="753"/>
      <c r="I228" s="1105">
        <f t="shared" ref="I228:I251" si="95">IFERROR(IF(F228="",0,F228*$H$49),"")</f>
        <v>0</v>
      </c>
      <c r="J228" s="1105"/>
      <c r="K228" s="122">
        <f t="shared" ref="K228:K252" si="96">IFERROR(G228*I228,"")</f>
        <v>0</v>
      </c>
      <c r="M228">
        <f>IFERROR(Q227*B228,0)</f>
        <v>0</v>
      </c>
      <c r="N228" s="147">
        <f t="shared" ref="N228:N252" si="97">ROUNDUP(M228,0)</f>
        <v>0</v>
      </c>
      <c r="O228" s="147">
        <f t="shared" ref="O228:O252" si="98">ROUNDDOWN(M228,0)</f>
        <v>0</v>
      </c>
      <c r="P228" t="b">
        <f t="shared" ref="P228:P252" si="99">OR(G228=N228,G228=O228)</f>
        <v>1</v>
      </c>
      <c r="S228" s="194" t="str">
        <f t="shared" si="93"/>
        <v>B</v>
      </c>
      <c r="T228" s="194" t="str">
        <f t="shared" ref="T228:X228" si="100">IF(T10="","",T10)</f>
        <v/>
      </c>
      <c r="U228" s="463" t="str">
        <f t="shared" si="100"/>
        <v/>
      </c>
      <c r="V228" s="194" t="str">
        <f t="shared" si="100"/>
        <v/>
      </c>
      <c r="W228" s="194" t="str">
        <f t="shared" si="100"/>
        <v/>
      </c>
      <c r="X228" s="125" t="str">
        <f t="shared" si="100"/>
        <v/>
      </c>
      <c r="Y228" s="753"/>
      <c r="Z228" s="753"/>
      <c r="AA228" s="1105">
        <f t="shared" ref="AA228:AA252" si="101">IFERROR(IF(X228="",0,X228*$Z$49),"")</f>
        <v>0</v>
      </c>
      <c r="AB228" s="1105"/>
      <c r="AC228" s="122">
        <f t="shared" ref="AC228:AC252" si="102">IFERROR(Y228*AA228,"")</f>
        <v>0</v>
      </c>
      <c r="AE228">
        <f>IFERROR(AI227*T228,0)</f>
        <v>0</v>
      </c>
      <c r="AF228" s="147">
        <f t="shared" ref="AF228:AF252" si="103">ROUNDUP(AE228,0)</f>
        <v>0</v>
      </c>
      <c r="AG228" s="147">
        <f t="shared" ref="AG228:AG252" si="104">ROUNDDOWN(AE228,0)</f>
        <v>0</v>
      </c>
      <c r="AH228" t="b">
        <f t="shared" ref="AH228:AH252" si="105">OR(Y228=AF228,Y228=AG228)</f>
        <v>1</v>
      </c>
    </row>
    <row r="229" spans="1:35" x14ac:dyDescent="0.25">
      <c r="A229" s="194" t="str">
        <f t="shared" si="92"/>
        <v>C</v>
      </c>
      <c r="B229" s="194" t="str">
        <f t="shared" ref="B229:F229" si="106">IF(B11="","",B11)</f>
        <v/>
      </c>
      <c r="C229" s="463" t="str">
        <f t="shared" si="106"/>
        <v/>
      </c>
      <c r="D229" s="194" t="str">
        <f t="shared" si="106"/>
        <v/>
      </c>
      <c r="E229" s="194" t="str">
        <f t="shared" si="106"/>
        <v/>
      </c>
      <c r="F229" s="125" t="str">
        <f t="shared" si="106"/>
        <v/>
      </c>
      <c r="G229" s="753"/>
      <c r="H229" s="753"/>
      <c r="I229" s="1105">
        <f t="shared" si="95"/>
        <v>0</v>
      </c>
      <c r="J229" s="1105"/>
      <c r="K229" s="122">
        <f t="shared" si="96"/>
        <v>0</v>
      </c>
      <c r="M229">
        <f>IFERROR(Q227*B229,0)</f>
        <v>0</v>
      </c>
      <c r="N229" s="147">
        <f t="shared" si="97"/>
        <v>0</v>
      </c>
      <c r="O229" s="147">
        <f t="shared" si="98"/>
        <v>0</v>
      </c>
      <c r="P229" t="b">
        <f t="shared" si="99"/>
        <v>1</v>
      </c>
      <c r="S229" s="194" t="str">
        <f t="shared" si="93"/>
        <v>C</v>
      </c>
      <c r="T229" s="194" t="str">
        <f t="shared" ref="T229:X229" si="107">IF(T11="","",T11)</f>
        <v/>
      </c>
      <c r="U229" s="463" t="str">
        <f t="shared" si="107"/>
        <v/>
      </c>
      <c r="V229" s="194" t="str">
        <f t="shared" si="107"/>
        <v/>
      </c>
      <c r="W229" s="194" t="str">
        <f t="shared" si="107"/>
        <v/>
      </c>
      <c r="X229" s="125" t="str">
        <f t="shared" si="107"/>
        <v/>
      </c>
      <c r="Y229" s="753"/>
      <c r="Z229" s="753"/>
      <c r="AA229" s="1105">
        <f t="shared" si="101"/>
        <v>0</v>
      </c>
      <c r="AB229" s="1105"/>
      <c r="AC229" s="122">
        <f t="shared" si="102"/>
        <v>0</v>
      </c>
      <c r="AE229">
        <f>IFERROR(AI227*T229,0)</f>
        <v>0</v>
      </c>
      <c r="AF229" s="147">
        <f t="shared" si="103"/>
        <v>0</v>
      </c>
      <c r="AG229" s="147">
        <f t="shared" si="104"/>
        <v>0</v>
      </c>
      <c r="AH229" t="b">
        <f t="shared" si="105"/>
        <v>1</v>
      </c>
    </row>
    <row r="230" spans="1:35" x14ac:dyDescent="0.25">
      <c r="A230" s="194" t="str">
        <f t="shared" si="92"/>
        <v>D</v>
      </c>
      <c r="B230" s="194" t="str">
        <f t="shared" ref="B230:F230" si="108">IF(B12="","",B12)</f>
        <v/>
      </c>
      <c r="C230" s="463" t="str">
        <f t="shared" si="108"/>
        <v/>
      </c>
      <c r="D230" s="194" t="str">
        <f t="shared" si="108"/>
        <v/>
      </c>
      <c r="E230" s="194" t="str">
        <f t="shared" si="108"/>
        <v/>
      </c>
      <c r="F230" s="125" t="str">
        <f t="shared" si="108"/>
        <v/>
      </c>
      <c r="G230" s="753"/>
      <c r="H230" s="753"/>
      <c r="I230" s="1105">
        <f t="shared" si="95"/>
        <v>0</v>
      </c>
      <c r="J230" s="1105"/>
      <c r="K230" s="122">
        <f t="shared" si="96"/>
        <v>0</v>
      </c>
      <c r="M230">
        <f>IFERROR(Q227*B230,0)</f>
        <v>0</v>
      </c>
      <c r="N230" s="147">
        <f t="shared" si="97"/>
        <v>0</v>
      </c>
      <c r="O230" s="147">
        <f t="shared" si="98"/>
        <v>0</v>
      </c>
      <c r="P230" t="b">
        <f t="shared" si="99"/>
        <v>1</v>
      </c>
      <c r="S230" s="194" t="str">
        <f t="shared" si="93"/>
        <v>D</v>
      </c>
      <c r="T230" s="194" t="str">
        <f t="shared" ref="T230:X230" si="109">IF(T12="","",T12)</f>
        <v/>
      </c>
      <c r="U230" s="463" t="str">
        <f t="shared" si="109"/>
        <v/>
      </c>
      <c r="V230" s="194" t="str">
        <f t="shared" si="109"/>
        <v/>
      </c>
      <c r="W230" s="194" t="str">
        <f t="shared" si="109"/>
        <v/>
      </c>
      <c r="X230" s="125" t="str">
        <f t="shared" si="109"/>
        <v/>
      </c>
      <c r="Y230" s="753"/>
      <c r="Z230" s="753"/>
      <c r="AA230" s="1105">
        <f t="shared" si="101"/>
        <v>0</v>
      </c>
      <c r="AB230" s="1105"/>
      <c r="AC230" s="122">
        <f t="shared" si="102"/>
        <v>0</v>
      </c>
      <c r="AE230">
        <f>IFERROR(AI227*T230,0)</f>
        <v>0</v>
      </c>
      <c r="AF230" s="147">
        <f t="shared" si="103"/>
        <v>0</v>
      </c>
      <c r="AG230" s="147">
        <f t="shared" si="104"/>
        <v>0</v>
      </c>
      <c r="AH230" t="b">
        <f t="shared" si="105"/>
        <v>1</v>
      </c>
    </row>
    <row r="231" spans="1:35" x14ac:dyDescent="0.25">
      <c r="A231" s="194" t="str">
        <f t="shared" si="92"/>
        <v>E</v>
      </c>
      <c r="B231" s="194" t="str">
        <f t="shared" ref="B231:F231" si="110">IF(B13="","",B13)</f>
        <v/>
      </c>
      <c r="C231" s="463" t="str">
        <f t="shared" si="110"/>
        <v/>
      </c>
      <c r="D231" s="194" t="str">
        <f t="shared" si="110"/>
        <v/>
      </c>
      <c r="E231" s="194" t="str">
        <f t="shared" si="110"/>
        <v/>
      </c>
      <c r="F231" s="125" t="str">
        <f t="shared" si="110"/>
        <v/>
      </c>
      <c r="G231" s="753"/>
      <c r="H231" s="753"/>
      <c r="I231" s="1105">
        <f t="shared" si="95"/>
        <v>0</v>
      </c>
      <c r="J231" s="1105"/>
      <c r="K231" s="122">
        <f t="shared" si="96"/>
        <v>0</v>
      </c>
      <c r="M231">
        <f>IFERROR(Q227*B231,0)</f>
        <v>0</v>
      </c>
      <c r="N231" s="147">
        <f t="shared" si="97"/>
        <v>0</v>
      </c>
      <c r="O231" s="147">
        <f t="shared" si="98"/>
        <v>0</v>
      </c>
      <c r="P231" t="b">
        <f t="shared" si="99"/>
        <v>1</v>
      </c>
      <c r="S231" s="194" t="str">
        <f t="shared" si="93"/>
        <v>E</v>
      </c>
      <c r="T231" s="194" t="str">
        <f t="shared" ref="T231:X231" si="111">IF(T13="","",T13)</f>
        <v/>
      </c>
      <c r="U231" s="463" t="str">
        <f t="shared" si="111"/>
        <v/>
      </c>
      <c r="V231" s="194" t="str">
        <f t="shared" si="111"/>
        <v/>
      </c>
      <c r="W231" s="194" t="str">
        <f t="shared" si="111"/>
        <v/>
      </c>
      <c r="X231" s="125" t="str">
        <f t="shared" si="111"/>
        <v/>
      </c>
      <c r="Y231" s="753"/>
      <c r="Z231" s="753"/>
      <c r="AA231" s="1105">
        <f t="shared" si="101"/>
        <v>0</v>
      </c>
      <c r="AB231" s="1105"/>
      <c r="AC231" s="122">
        <f t="shared" si="102"/>
        <v>0</v>
      </c>
      <c r="AE231">
        <f>IFERROR(AI227*T231,0)</f>
        <v>0</v>
      </c>
      <c r="AF231" s="147">
        <f t="shared" si="103"/>
        <v>0</v>
      </c>
      <c r="AG231" s="147">
        <f t="shared" si="104"/>
        <v>0</v>
      </c>
      <c r="AH231" t="b">
        <f t="shared" si="105"/>
        <v>1</v>
      </c>
    </row>
    <row r="232" spans="1:35" x14ac:dyDescent="0.25">
      <c r="A232" s="194" t="str">
        <f t="shared" si="92"/>
        <v>F</v>
      </c>
      <c r="B232" s="194" t="str">
        <f t="shared" ref="B232:F232" si="112">IF(B14="","",B14)</f>
        <v/>
      </c>
      <c r="C232" s="463" t="str">
        <f t="shared" si="112"/>
        <v/>
      </c>
      <c r="D232" s="194" t="str">
        <f t="shared" si="112"/>
        <v/>
      </c>
      <c r="E232" s="194" t="str">
        <f t="shared" si="112"/>
        <v/>
      </c>
      <c r="F232" s="125" t="str">
        <f t="shared" si="112"/>
        <v/>
      </c>
      <c r="G232" s="753"/>
      <c r="H232" s="753"/>
      <c r="I232" s="1105">
        <f t="shared" si="95"/>
        <v>0</v>
      </c>
      <c r="J232" s="1105"/>
      <c r="K232" s="122">
        <f t="shared" si="96"/>
        <v>0</v>
      </c>
      <c r="M232">
        <f>IFERROR(Q227*B232,0)</f>
        <v>0</v>
      </c>
      <c r="N232" s="147">
        <f t="shared" si="97"/>
        <v>0</v>
      </c>
      <c r="O232" s="147">
        <f t="shared" si="98"/>
        <v>0</v>
      </c>
      <c r="P232" t="b">
        <f t="shared" si="99"/>
        <v>1</v>
      </c>
      <c r="S232" s="194" t="str">
        <f t="shared" si="93"/>
        <v>F</v>
      </c>
      <c r="T232" s="194" t="str">
        <f t="shared" ref="T232:X232" si="113">IF(T14="","",T14)</f>
        <v/>
      </c>
      <c r="U232" s="463" t="str">
        <f t="shared" si="113"/>
        <v/>
      </c>
      <c r="V232" s="194" t="str">
        <f t="shared" si="113"/>
        <v/>
      </c>
      <c r="W232" s="194" t="str">
        <f t="shared" si="113"/>
        <v/>
      </c>
      <c r="X232" s="125" t="str">
        <f t="shared" si="113"/>
        <v/>
      </c>
      <c r="Y232" s="753"/>
      <c r="Z232" s="753"/>
      <c r="AA232" s="1105">
        <f t="shared" si="101"/>
        <v>0</v>
      </c>
      <c r="AB232" s="1105"/>
      <c r="AC232" s="122">
        <f t="shared" si="102"/>
        <v>0</v>
      </c>
      <c r="AE232">
        <f>IFERROR(AI227*T232,0)</f>
        <v>0</v>
      </c>
      <c r="AF232" s="147">
        <f t="shared" si="103"/>
        <v>0</v>
      </c>
      <c r="AG232" s="147">
        <f t="shared" si="104"/>
        <v>0</v>
      </c>
      <c r="AH232" t="b">
        <f t="shared" si="105"/>
        <v>1</v>
      </c>
    </row>
    <row r="233" spans="1:35" x14ac:dyDescent="0.25">
      <c r="A233" s="194" t="str">
        <f t="shared" si="92"/>
        <v>G</v>
      </c>
      <c r="B233" s="194" t="str">
        <f t="shared" ref="B233:F233" si="114">IF(B15="","",B15)</f>
        <v/>
      </c>
      <c r="C233" s="194" t="str">
        <f t="shared" si="114"/>
        <v/>
      </c>
      <c r="D233" s="194" t="str">
        <f t="shared" si="114"/>
        <v/>
      </c>
      <c r="E233" s="194" t="str">
        <f t="shared" si="114"/>
        <v/>
      </c>
      <c r="F233" s="125" t="str">
        <f t="shared" si="114"/>
        <v/>
      </c>
      <c r="G233" s="753"/>
      <c r="H233" s="753"/>
      <c r="I233" s="1105">
        <f t="shared" si="95"/>
        <v>0</v>
      </c>
      <c r="J233" s="1105"/>
      <c r="K233" s="122">
        <f t="shared" si="96"/>
        <v>0</v>
      </c>
      <c r="M233">
        <f>IFERROR(Q227*B233,0)</f>
        <v>0</v>
      </c>
      <c r="N233" s="147">
        <f t="shared" si="97"/>
        <v>0</v>
      </c>
      <c r="O233" s="147">
        <f t="shared" si="98"/>
        <v>0</v>
      </c>
      <c r="P233" t="b">
        <f t="shared" si="99"/>
        <v>1</v>
      </c>
      <c r="S233" s="194" t="str">
        <f t="shared" si="93"/>
        <v>G</v>
      </c>
      <c r="T233" s="194" t="str">
        <f t="shared" ref="T233:X233" si="115">IF(T15="","",T15)</f>
        <v/>
      </c>
      <c r="U233" s="194" t="str">
        <f t="shared" si="115"/>
        <v/>
      </c>
      <c r="V233" s="194" t="str">
        <f t="shared" si="115"/>
        <v/>
      </c>
      <c r="W233" s="194" t="str">
        <f t="shared" si="115"/>
        <v/>
      </c>
      <c r="X233" s="125" t="str">
        <f t="shared" si="115"/>
        <v/>
      </c>
      <c r="Y233" s="753"/>
      <c r="Z233" s="753"/>
      <c r="AA233" s="1105">
        <f t="shared" si="101"/>
        <v>0</v>
      </c>
      <c r="AB233" s="1105"/>
      <c r="AC233" s="122">
        <f t="shared" si="102"/>
        <v>0</v>
      </c>
      <c r="AE233">
        <f>IFERROR(AI227*T233,0)</f>
        <v>0</v>
      </c>
      <c r="AF233" s="147">
        <f t="shared" si="103"/>
        <v>0</v>
      </c>
      <c r="AG233" s="147">
        <f t="shared" si="104"/>
        <v>0</v>
      </c>
      <c r="AH233" t="b">
        <f t="shared" si="105"/>
        <v>1</v>
      </c>
    </row>
    <row r="234" spans="1:35" x14ac:dyDescent="0.25">
      <c r="A234" s="194" t="str">
        <f t="shared" si="92"/>
        <v>H</v>
      </c>
      <c r="B234" s="194" t="str">
        <f t="shared" ref="B234:F234" si="116">IF(B16="","",B16)</f>
        <v/>
      </c>
      <c r="C234" s="194" t="str">
        <f t="shared" si="116"/>
        <v/>
      </c>
      <c r="D234" s="194" t="str">
        <f t="shared" si="116"/>
        <v/>
      </c>
      <c r="E234" s="194" t="str">
        <f t="shared" si="116"/>
        <v/>
      </c>
      <c r="F234" s="125" t="str">
        <f t="shared" si="116"/>
        <v/>
      </c>
      <c r="G234" s="753"/>
      <c r="H234" s="753"/>
      <c r="I234" s="1105">
        <f t="shared" si="95"/>
        <v>0</v>
      </c>
      <c r="J234" s="1105"/>
      <c r="K234" s="122">
        <f t="shared" si="96"/>
        <v>0</v>
      </c>
      <c r="M234">
        <f>IFERROR(Q227*B234,0)</f>
        <v>0</v>
      </c>
      <c r="N234" s="147">
        <f t="shared" si="97"/>
        <v>0</v>
      </c>
      <c r="O234" s="147">
        <f t="shared" si="98"/>
        <v>0</v>
      </c>
      <c r="P234" t="b">
        <f t="shared" si="99"/>
        <v>1</v>
      </c>
      <c r="S234" s="194" t="str">
        <f t="shared" si="93"/>
        <v>H</v>
      </c>
      <c r="T234" s="194" t="str">
        <f t="shared" ref="T234:X234" si="117">IF(T16="","",T16)</f>
        <v/>
      </c>
      <c r="U234" s="194" t="str">
        <f t="shared" si="117"/>
        <v/>
      </c>
      <c r="V234" s="194" t="str">
        <f t="shared" si="117"/>
        <v/>
      </c>
      <c r="W234" s="194" t="str">
        <f t="shared" si="117"/>
        <v/>
      </c>
      <c r="X234" s="125" t="str">
        <f t="shared" si="117"/>
        <v/>
      </c>
      <c r="Y234" s="753"/>
      <c r="Z234" s="753"/>
      <c r="AA234" s="1105">
        <f t="shared" si="101"/>
        <v>0</v>
      </c>
      <c r="AB234" s="1105"/>
      <c r="AC234" s="122">
        <f t="shared" si="102"/>
        <v>0</v>
      </c>
      <c r="AE234">
        <f>IFERROR(AI227*T234,0)</f>
        <v>0</v>
      </c>
      <c r="AF234" s="147">
        <f t="shared" si="103"/>
        <v>0</v>
      </c>
      <c r="AG234" s="147">
        <f t="shared" si="104"/>
        <v>0</v>
      </c>
      <c r="AH234" t="b">
        <f t="shared" si="105"/>
        <v>1</v>
      </c>
    </row>
    <row r="235" spans="1:35" x14ac:dyDescent="0.25">
      <c r="A235" s="194" t="str">
        <f t="shared" si="92"/>
        <v>I</v>
      </c>
      <c r="B235" s="194" t="str">
        <f t="shared" ref="B235:F235" si="118">IF(B17="","",B17)</f>
        <v/>
      </c>
      <c r="C235" s="194" t="str">
        <f t="shared" si="118"/>
        <v/>
      </c>
      <c r="D235" s="194" t="str">
        <f t="shared" si="118"/>
        <v/>
      </c>
      <c r="E235" s="194" t="str">
        <f t="shared" si="118"/>
        <v/>
      </c>
      <c r="F235" s="125" t="str">
        <f t="shared" si="118"/>
        <v/>
      </c>
      <c r="G235" s="753"/>
      <c r="H235" s="753"/>
      <c r="I235" s="1105">
        <f t="shared" si="95"/>
        <v>0</v>
      </c>
      <c r="J235" s="1105"/>
      <c r="K235" s="122">
        <f t="shared" si="96"/>
        <v>0</v>
      </c>
      <c r="M235">
        <f>IFERROR(Q227*B235,0)</f>
        <v>0</v>
      </c>
      <c r="N235" s="147">
        <f t="shared" si="97"/>
        <v>0</v>
      </c>
      <c r="O235" s="147">
        <f t="shared" si="98"/>
        <v>0</v>
      </c>
      <c r="P235" t="b">
        <f t="shared" si="99"/>
        <v>1</v>
      </c>
      <c r="S235" s="194" t="str">
        <f t="shared" si="93"/>
        <v>I</v>
      </c>
      <c r="T235" s="194" t="str">
        <f t="shared" ref="T235:X235" si="119">IF(T17="","",T17)</f>
        <v/>
      </c>
      <c r="U235" s="194" t="str">
        <f t="shared" si="119"/>
        <v/>
      </c>
      <c r="V235" s="194" t="str">
        <f t="shared" si="119"/>
        <v/>
      </c>
      <c r="W235" s="194" t="str">
        <f t="shared" si="119"/>
        <v/>
      </c>
      <c r="X235" s="125" t="str">
        <f t="shared" si="119"/>
        <v/>
      </c>
      <c r="Y235" s="753"/>
      <c r="Z235" s="753"/>
      <c r="AA235" s="1105">
        <f t="shared" si="101"/>
        <v>0</v>
      </c>
      <c r="AB235" s="1105"/>
      <c r="AC235" s="122">
        <f t="shared" si="102"/>
        <v>0</v>
      </c>
      <c r="AE235">
        <f>IFERROR(AI227*T235,0)</f>
        <v>0</v>
      </c>
      <c r="AF235" s="147">
        <f t="shared" si="103"/>
        <v>0</v>
      </c>
      <c r="AG235" s="147">
        <f t="shared" si="104"/>
        <v>0</v>
      </c>
      <c r="AH235" t="b">
        <f t="shared" si="105"/>
        <v>1</v>
      </c>
    </row>
    <row r="236" spans="1:35" x14ac:dyDescent="0.25">
      <c r="A236" s="194" t="str">
        <f t="shared" si="92"/>
        <v>J</v>
      </c>
      <c r="B236" s="194" t="str">
        <f t="shared" ref="B236:F236" si="120">IF(B18="","",B18)</f>
        <v/>
      </c>
      <c r="C236" s="194" t="str">
        <f t="shared" si="120"/>
        <v/>
      </c>
      <c r="D236" s="194" t="str">
        <f t="shared" si="120"/>
        <v/>
      </c>
      <c r="E236" s="194" t="str">
        <f t="shared" si="120"/>
        <v/>
      </c>
      <c r="F236" s="125" t="str">
        <f t="shared" si="120"/>
        <v/>
      </c>
      <c r="G236" s="753"/>
      <c r="H236" s="753"/>
      <c r="I236" s="1105">
        <f t="shared" si="95"/>
        <v>0</v>
      </c>
      <c r="J236" s="1105"/>
      <c r="K236" s="122">
        <f t="shared" si="96"/>
        <v>0</v>
      </c>
      <c r="M236">
        <f>IFERROR(Q227*B236,0)</f>
        <v>0</v>
      </c>
      <c r="N236" s="147">
        <f t="shared" si="97"/>
        <v>0</v>
      </c>
      <c r="O236" s="147">
        <f t="shared" si="98"/>
        <v>0</v>
      </c>
      <c r="P236" t="b">
        <f t="shared" si="99"/>
        <v>1</v>
      </c>
      <c r="S236" s="194" t="str">
        <f t="shared" si="93"/>
        <v>J</v>
      </c>
      <c r="T236" s="194" t="str">
        <f t="shared" ref="T236:X236" si="121">IF(T18="","",T18)</f>
        <v/>
      </c>
      <c r="U236" s="194" t="str">
        <f t="shared" si="121"/>
        <v/>
      </c>
      <c r="V236" s="194" t="str">
        <f t="shared" si="121"/>
        <v/>
      </c>
      <c r="W236" s="194" t="str">
        <f t="shared" si="121"/>
        <v/>
      </c>
      <c r="X236" s="125" t="str">
        <f t="shared" si="121"/>
        <v/>
      </c>
      <c r="Y236" s="753"/>
      <c r="Z236" s="753"/>
      <c r="AA236" s="1105">
        <f t="shared" si="101"/>
        <v>0</v>
      </c>
      <c r="AB236" s="1105"/>
      <c r="AC236" s="122">
        <f t="shared" si="102"/>
        <v>0</v>
      </c>
      <c r="AE236">
        <f>IFERROR(AI227*T236,0)</f>
        <v>0</v>
      </c>
      <c r="AF236" s="147">
        <f t="shared" si="103"/>
        <v>0</v>
      </c>
      <c r="AG236" s="147">
        <f t="shared" si="104"/>
        <v>0</v>
      </c>
      <c r="AH236" t="b">
        <f t="shared" si="105"/>
        <v>1</v>
      </c>
    </row>
    <row r="237" spans="1:35" x14ac:dyDescent="0.25">
      <c r="A237" s="194" t="str">
        <f t="shared" si="92"/>
        <v>K</v>
      </c>
      <c r="B237" s="194" t="str">
        <f t="shared" ref="B237:F237" si="122">IF(B19="","",B19)</f>
        <v/>
      </c>
      <c r="C237" s="194" t="str">
        <f t="shared" si="122"/>
        <v/>
      </c>
      <c r="D237" s="194" t="str">
        <f t="shared" si="122"/>
        <v/>
      </c>
      <c r="E237" s="194" t="str">
        <f t="shared" si="122"/>
        <v/>
      </c>
      <c r="F237" s="125" t="str">
        <f t="shared" si="122"/>
        <v/>
      </c>
      <c r="G237" s="753"/>
      <c r="H237" s="753"/>
      <c r="I237" s="1105">
        <f t="shared" si="95"/>
        <v>0</v>
      </c>
      <c r="J237" s="1105"/>
      <c r="K237" s="122">
        <f t="shared" si="96"/>
        <v>0</v>
      </c>
      <c r="M237">
        <f>IFERROR(Q227*B237,0)</f>
        <v>0</v>
      </c>
      <c r="N237" s="147">
        <f t="shared" si="97"/>
        <v>0</v>
      </c>
      <c r="O237" s="147">
        <f t="shared" si="98"/>
        <v>0</v>
      </c>
      <c r="P237" t="b">
        <f t="shared" si="99"/>
        <v>1</v>
      </c>
      <c r="S237" s="194" t="str">
        <f t="shared" si="93"/>
        <v>K</v>
      </c>
      <c r="T237" s="194" t="str">
        <f t="shared" ref="T237:X237" si="123">IF(T19="","",T19)</f>
        <v/>
      </c>
      <c r="U237" s="194" t="str">
        <f t="shared" si="123"/>
        <v/>
      </c>
      <c r="V237" s="194" t="str">
        <f t="shared" si="123"/>
        <v/>
      </c>
      <c r="W237" s="194" t="str">
        <f t="shared" si="123"/>
        <v/>
      </c>
      <c r="X237" s="125" t="str">
        <f t="shared" si="123"/>
        <v/>
      </c>
      <c r="Y237" s="753"/>
      <c r="Z237" s="753"/>
      <c r="AA237" s="1105">
        <f t="shared" si="101"/>
        <v>0</v>
      </c>
      <c r="AB237" s="1105"/>
      <c r="AC237" s="122">
        <f t="shared" si="102"/>
        <v>0</v>
      </c>
      <c r="AE237">
        <f>IFERROR(AI227*T237,0)</f>
        <v>0</v>
      </c>
      <c r="AF237" s="147">
        <f t="shared" si="103"/>
        <v>0</v>
      </c>
      <c r="AG237" s="147">
        <f t="shared" si="104"/>
        <v>0</v>
      </c>
      <c r="AH237" t="b">
        <f t="shared" si="105"/>
        <v>1</v>
      </c>
    </row>
    <row r="238" spans="1:35" x14ac:dyDescent="0.25">
      <c r="A238" s="194" t="str">
        <f t="shared" si="92"/>
        <v>L</v>
      </c>
      <c r="B238" s="194" t="str">
        <f t="shared" ref="B238:F238" si="124">IF(B20="","",B20)</f>
        <v/>
      </c>
      <c r="C238" s="194" t="str">
        <f t="shared" si="124"/>
        <v/>
      </c>
      <c r="D238" s="194" t="str">
        <f t="shared" si="124"/>
        <v/>
      </c>
      <c r="E238" s="194" t="str">
        <f t="shared" si="124"/>
        <v/>
      </c>
      <c r="F238" s="125" t="str">
        <f t="shared" si="124"/>
        <v/>
      </c>
      <c r="G238" s="753"/>
      <c r="H238" s="753"/>
      <c r="I238" s="1105">
        <f t="shared" si="95"/>
        <v>0</v>
      </c>
      <c r="J238" s="1105"/>
      <c r="K238" s="122">
        <f t="shared" si="96"/>
        <v>0</v>
      </c>
      <c r="M238">
        <f>IFERROR(Q227*B238,0)</f>
        <v>0</v>
      </c>
      <c r="N238" s="147">
        <f t="shared" si="97"/>
        <v>0</v>
      </c>
      <c r="O238" s="147">
        <f t="shared" si="98"/>
        <v>0</v>
      </c>
      <c r="P238" t="b">
        <f t="shared" si="99"/>
        <v>1</v>
      </c>
      <c r="S238" s="194" t="str">
        <f t="shared" si="93"/>
        <v>L</v>
      </c>
      <c r="T238" s="194" t="str">
        <f t="shared" ref="T238:X238" si="125">IF(T20="","",T20)</f>
        <v/>
      </c>
      <c r="U238" s="194" t="str">
        <f t="shared" si="125"/>
        <v/>
      </c>
      <c r="V238" s="194" t="str">
        <f t="shared" si="125"/>
        <v/>
      </c>
      <c r="W238" s="194" t="str">
        <f t="shared" si="125"/>
        <v/>
      </c>
      <c r="X238" s="125" t="str">
        <f t="shared" si="125"/>
        <v/>
      </c>
      <c r="Y238" s="753"/>
      <c r="Z238" s="753"/>
      <c r="AA238" s="1105">
        <f t="shared" si="101"/>
        <v>0</v>
      </c>
      <c r="AB238" s="1105"/>
      <c r="AC238" s="122">
        <f t="shared" si="102"/>
        <v>0</v>
      </c>
      <c r="AE238">
        <f>IFERROR(AI227*T238,0)</f>
        <v>0</v>
      </c>
      <c r="AF238" s="147">
        <f t="shared" si="103"/>
        <v>0</v>
      </c>
      <c r="AG238" s="147">
        <f t="shared" si="104"/>
        <v>0</v>
      </c>
      <c r="AH238" t="b">
        <f t="shared" si="105"/>
        <v>1</v>
      </c>
    </row>
    <row r="239" spans="1:35" x14ac:dyDescent="0.25">
      <c r="A239" s="194" t="str">
        <f t="shared" si="92"/>
        <v>M</v>
      </c>
      <c r="B239" s="194" t="str">
        <f t="shared" ref="B239:F239" si="126">IF(B21="","",B21)</f>
        <v/>
      </c>
      <c r="C239" s="194" t="str">
        <f t="shared" si="126"/>
        <v/>
      </c>
      <c r="D239" s="194" t="str">
        <f t="shared" si="126"/>
        <v/>
      </c>
      <c r="E239" s="194" t="str">
        <f t="shared" si="126"/>
        <v/>
      </c>
      <c r="F239" s="125" t="str">
        <f t="shared" si="126"/>
        <v/>
      </c>
      <c r="G239" s="753"/>
      <c r="H239" s="753"/>
      <c r="I239" s="1105">
        <f t="shared" si="95"/>
        <v>0</v>
      </c>
      <c r="J239" s="1105"/>
      <c r="K239" s="122">
        <f t="shared" si="96"/>
        <v>0</v>
      </c>
      <c r="M239">
        <f>IFERROR(Q227*B239,0)</f>
        <v>0</v>
      </c>
      <c r="N239" s="147">
        <f t="shared" si="97"/>
        <v>0</v>
      </c>
      <c r="O239" s="147">
        <f t="shared" si="98"/>
        <v>0</v>
      </c>
      <c r="P239" t="b">
        <f t="shared" si="99"/>
        <v>1</v>
      </c>
      <c r="S239" s="194" t="str">
        <f t="shared" si="93"/>
        <v>M</v>
      </c>
      <c r="T239" s="194" t="str">
        <f t="shared" ref="T239:X239" si="127">IF(T21="","",T21)</f>
        <v/>
      </c>
      <c r="U239" s="194" t="str">
        <f t="shared" si="127"/>
        <v/>
      </c>
      <c r="V239" s="194" t="str">
        <f t="shared" si="127"/>
        <v/>
      </c>
      <c r="W239" s="194" t="str">
        <f t="shared" si="127"/>
        <v/>
      </c>
      <c r="X239" s="125" t="str">
        <f t="shared" si="127"/>
        <v/>
      </c>
      <c r="Y239" s="753"/>
      <c r="Z239" s="753"/>
      <c r="AA239" s="1105">
        <f t="shared" si="101"/>
        <v>0</v>
      </c>
      <c r="AB239" s="1105"/>
      <c r="AC239" s="122">
        <f t="shared" si="102"/>
        <v>0</v>
      </c>
      <c r="AE239">
        <f>IFERROR(AI227*T239,0)</f>
        <v>0</v>
      </c>
      <c r="AF239" s="147">
        <f t="shared" si="103"/>
        <v>0</v>
      </c>
      <c r="AG239" s="147">
        <f t="shared" si="104"/>
        <v>0</v>
      </c>
      <c r="AH239" t="b">
        <f t="shared" si="105"/>
        <v>1</v>
      </c>
    </row>
    <row r="240" spans="1:35" x14ac:dyDescent="0.25">
      <c r="A240" s="194" t="str">
        <f t="shared" si="92"/>
        <v>N</v>
      </c>
      <c r="B240" s="194" t="str">
        <f t="shared" ref="B240:F240" si="128">IF(B22="","",B22)</f>
        <v/>
      </c>
      <c r="C240" s="194" t="str">
        <f t="shared" si="128"/>
        <v/>
      </c>
      <c r="D240" s="194" t="str">
        <f t="shared" si="128"/>
        <v/>
      </c>
      <c r="E240" s="194" t="str">
        <f t="shared" si="128"/>
        <v/>
      </c>
      <c r="F240" s="125" t="str">
        <f t="shared" si="128"/>
        <v/>
      </c>
      <c r="G240" s="753"/>
      <c r="H240" s="753"/>
      <c r="I240" s="1105">
        <f t="shared" si="95"/>
        <v>0</v>
      </c>
      <c r="J240" s="1105"/>
      <c r="K240" s="122">
        <f t="shared" si="96"/>
        <v>0</v>
      </c>
      <c r="M240">
        <f>IFERROR(Q227*B240,0)</f>
        <v>0</v>
      </c>
      <c r="N240" s="147">
        <f t="shared" si="97"/>
        <v>0</v>
      </c>
      <c r="O240" s="147">
        <f t="shared" si="98"/>
        <v>0</v>
      </c>
      <c r="P240" t="b">
        <f t="shared" si="99"/>
        <v>1</v>
      </c>
      <c r="S240" s="194" t="str">
        <f t="shared" si="93"/>
        <v>N</v>
      </c>
      <c r="T240" s="194" t="str">
        <f t="shared" ref="T240:X240" si="129">IF(T22="","",T22)</f>
        <v/>
      </c>
      <c r="U240" s="194" t="str">
        <f t="shared" si="129"/>
        <v/>
      </c>
      <c r="V240" s="194" t="str">
        <f t="shared" si="129"/>
        <v/>
      </c>
      <c r="W240" s="194" t="str">
        <f t="shared" si="129"/>
        <v/>
      </c>
      <c r="X240" s="125" t="str">
        <f t="shared" si="129"/>
        <v/>
      </c>
      <c r="Y240" s="753"/>
      <c r="Z240" s="753"/>
      <c r="AA240" s="1105">
        <f t="shared" si="101"/>
        <v>0</v>
      </c>
      <c r="AB240" s="1105"/>
      <c r="AC240" s="122">
        <f t="shared" si="102"/>
        <v>0</v>
      </c>
      <c r="AE240">
        <f>IFERROR(AI227*T240,0)</f>
        <v>0</v>
      </c>
      <c r="AF240" s="147">
        <f t="shared" si="103"/>
        <v>0</v>
      </c>
      <c r="AG240" s="147">
        <f t="shared" si="104"/>
        <v>0</v>
      </c>
      <c r="AH240" t="b">
        <f t="shared" si="105"/>
        <v>1</v>
      </c>
    </row>
    <row r="241" spans="1:34" x14ac:dyDescent="0.25">
      <c r="A241" s="194" t="str">
        <f t="shared" si="92"/>
        <v>O</v>
      </c>
      <c r="B241" s="194" t="str">
        <f t="shared" ref="B241:F241" si="130">IF(B23="","",B23)</f>
        <v/>
      </c>
      <c r="C241" s="194" t="str">
        <f t="shared" si="130"/>
        <v/>
      </c>
      <c r="D241" s="194" t="str">
        <f t="shared" si="130"/>
        <v/>
      </c>
      <c r="E241" s="194" t="str">
        <f t="shared" si="130"/>
        <v/>
      </c>
      <c r="F241" s="125" t="str">
        <f t="shared" si="130"/>
        <v/>
      </c>
      <c r="G241" s="753"/>
      <c r="H241" s="753"/>
      <c r="I241" s="1105">
        <f t="shared" si="95"/>
        <v>0</v>
      </c>
      <c r="J241" s="1105"/>
      <c r="K241" s="122">
        <f t="shared" si="96"/>
        <v>0</v>
      </c>
      <c r="M241">
        <f>IFERROR(Q227*B241,0)</f>
        <v>0</v>
      </c>
      <c r="N241" s="147">
        <f t="shared" si="97"/>
        <v>0</v>
      </c>
      <c r="O241" s="147">
        <f t="shared" si="98"/>
        <v>0</v>
      </c>
      <c r="P241" t="b">
        <f t="shared" si="99"/>
        <v>1</v>
      </c>
      <c r="S241" s="194" t="str">
        <f t="shared" si="93"/>
        <v>O</v>
      </c>
      <c r="T241" s="194" t="str">
        <f t="shared" ref="T241:X241" si="131">IF(T23="","",T23)</f>
        <v/>
      </c>
      <c r="U241" s="194" t="str">
        <f t="shared" si="131"/>
        <v/>
      </c>
      <c r="V241" s="194" t="str">
        <f t="shared" si="131"/>
        <v/>
      </c>
      <c r="W241" s="194" t="str">
        <f t="shared" si="131"/>
        <v/>
      </c>
      <c r="X241" s="125" t="str">
        <f t="shared" si="131"/>
        <v/>
      </c>
      <c r="Y241" s="753"/>
      <c r="Z241" s="753"/>
      <c r="AA241" s="1105">
        <f t="shared" si="101"/>
        <v>0</v>
      </c>
      <c r="AB241" s="1105"/>
      <c r="AC241" s="122">
        <f t="shared" si="102"/>
        <v>0</v>
      </c>
      <c r="AE241">
        <f>IFERROR(AI227*T241,0)</f>
        <v>0</v>
      </c>
      <c r="AF241" s="147">
        <f t="shared" si="103"/>
        <v>0</v>
      </c>
      <c r="AG241" s="147">
        <f t="shared" si="104"/>
        <v>0</v>
      </c>
      <c r="AH241" t="b">
        <f t="shared" si="105"/>
        <v>1</v>
      </c>
    </row>
    <row r="242" spans="1:34" x14ac:dyDescent="0.25">
      <c r="A242" s="194" t="str">
        <f t="shared" si="92"/>
        <v>P</v>
      </c>
      <c r="B242" s="194" t="str">
        <f t="shared" ref="B242:F242" si="132">IF(B24="","",B24)</f>
        <v/>
      </c>
      <c r="C242" s="194" t="str">
        <f t="shared" si="132"/>
        <v/>
      </c>
      <c r="D242" s="194" t="str">
        <f t="shared" si="132"/>
        <v/>
      </c>
      <c r="E242" s="194" t="str">
        <f t="shared" si="132"/>
        <v/>
      </c>
      <c r="F242" s="125" t="str">
        <f t="shared" si="132"/>
        <v/>
      </c>
      <c r="G242" s="753"/>
      <c r="H242" s="753"/>
      <c r="I242" s="1105">
        <f t="shared" si="95"/>
        <v>0</v>
      </c>
      <c r="J242" s="1105"/>
      <c r="K242" s="122">
        <f t="shared" si="96"/>
        <v>0</v>
      </c>
      <c r="M242">
        <f>IFERROR(Q227*B242,0)</f>
        <v>0</v>
      </c>
      <c r="N242" s="147">
        <f t="shared" si="97"/>
        <v>0</v>
      </c>
      <c r="O242" s="147">
        <f t="shared" si="98"/>
        <v>0</v>
      </c>
      <c r="P242" t="b">
        <f t="shared" si="99"/>
        <v>1</v>
      </c>
      <c r="S242" s="194" t="str">
        <f t="shared" si="93"/>
        <v>P</v>
      </c>
      <c r="T242" s="194" t="str">
        <f t="shared" ref="T242:X242" si="133">IF(T24="","",T24)</f>
        <v/>
      </c>
      <c r="U242" s="194" t="str">
        <f t="shared" si="133"/>
        <v/>
      </c>
      <c r="V242" s="194" t="str">
        <f t="shared" si="133"/>
        <v/>
      </c>
      <c r="W242" s="194" t="str">
        <f t="shared" si="133"/>
        <v/>
      </c>
      <c r="X242" s="125" t="str">
        <f t="shared" si="133"/>
        <v/>
      </c>
      <c r="Y242" s="753"/>
      <c r="Z242" s="753"/>
      <c r="AA242" s="1105">
        <f t="shared" si="101"/>
        <v>0</v>
      </c>
      <c r="AB242" s="1105"/>
      <c r="AC242" s="122">
        <f t="shared" si="102"/>
        <v>0</v>
      </c>
      <c r="AE242">
        <f>IFERROR(AI227*T242,0)</f>
        <v>0</v>
      </c>
      <c r="AF242" s="147">
        <f t="shared" si="103"/>
        <v>0</v>
      </c>
      <c r="AG242" s="147">
        <f t="shared" si="104"/>
        <v>0</v>
      </c>
      <c r="AH242" t="b">
        <f t="shared" si="105"/>
        <v>1</v>
      </c>
    </row>
    <row r="243" spans="1:34" x14ac:dyDescent="0.25">
      <c r="A243" s="194" t="str">
        <f t="shared" si="92"/>
        <v>Q</v>
      </c>
      <c r="B243" s="194" t="str">
        <f t="shared" ref="B243:F243" si="134">IF(B25="","",B25)</f>
        <v/>
      </c>
      <c r="C243" s="194" t="str">
        <f t="shared" si="134"/>
        <v/>
      </c>
      <c r="D243" s="194" t="str">
        <f t="shared" si="134"/>
        <v/>
      </c>
      <c r="E243" s="194" t="str">
        <f t="shared" si="134"/>
        <v/>
      </c>
      <c r="F243" s="125" t="str">
        <f t="shared" si="134"/>
        <v/>
      </c>
      <c r="G243" s="753"/>
      <c r="H243" s="753"/>
      <c r="I243" s="1105">
        <f t="shared" si="95"/>
        <v>0</v>
      </c>
      <c r="J243" s="1105"/>
      <c r="K243" s="122">
        <f t="shared" si="96"/>
        <v>0</v>
      </c>
      <c r="M243">
        <f>IFERROR(Q227*B243,0)</f>
        <v>0</v>
      </c>
      <c r="N243" s="147">
        <f t="shared" si="97"/>
        <v>0</v>
      </c>
      <c r="O243" s="147">
        <f t="shared" si="98"/>
        <v>0</v>
      </c>
      <c r="P243" t="b">
        <f t="shared" si="99"/>
        <v>1</v>
      </c>
      <c r="S243" s="194" t="str">
        <f t="shared" si="93"/>
        <v>Q</v>
      </c>
      <c r="T243" s="194" t="str">
        <f t="shared" ref="T243:X243" si="135">IF(T25="","",T25)</f>
        <v/>
      </c>
      <c r="U243" s="194" t="str">
        <f t="shared" si="135"/>
        <v/>
      </c>
      <c r="V243" s="194" t="str">
        <f t="shared" si="135"/>
        <v/>
      </c>
      <c r="W243" s="194" t="str">
        <f t="shared" si="135"/>
        <v/>
      </c>
      <c r="X243" s="125" t="str">
        <f t="shared" si="135"/>
        <v/>
      </c>
      <c r="Y243" s="753"/>
      <c r="Z243" s="753"/>
      <c r="AA243" s="1105">
        <f t="shared" si="101"/>
        <v>0</v>
      </c>
      <c r="AB243" s="1105"/>
      <c r="AC243" s="122">
        <f t="shared" si="102"/>
        <v>0</v>
      </c>
      <c r="AE243">
        <f>IFERROR(AI227*T243,0)</f>
        <v>0</v>
      </c>
      <c r="AF243" s="147">
        <f t="shared" si="103"/>
        <v>0</v>
      </c>
      <c r="AG243" s="147">
        <f t="shared" si="104"/>
        <v>0</v>
      </c>
      <c r="AH243" t="b">
        <f t="shared" si="105"/>
        <v>1</v>
      </c>
    </row>
    <row r="244" spans="1:34" x14ac:dyDescent="0.25">
      <c r="A244" s="194" t="str">
        <f t="shared" si="92"/>
        <v>R</v>
      </c>
      <c r="B244" s="194" t="str">
        <f t="shared" ref="B244:F244" si="136">IF(B26="","",B26)</f>
        <v/>
      </c>
      <c r="C244" s="194" t="str">
        <f t="shared" si="136"/>
        <v/>
      </c>
      <c r="D244" s="194" t="str">
        <f t="shared" si="136"/>
        <v/>
      </c>
      <c r="E244" s="194" t="str">
        <f t="shared" si="136"/>
        <v/>
      </c>
      <c r="F244" s="125" t="str">
        <f t="shared" si="136"/>
        <v/>
      </c>
      <c r="G244" s="753"/>
      <c r="H244" s="753"/>
      <c r="I244" s="1105">
        <f t="shared" si="95"/>
        <v>0</v>
      </c>
      <c r="J244" s="1105"/>
      <c r="K244" s="122">
        <f t="shared" si="96"/>
        <v>0</v>
      </c>
      <c r="M244">
        <f>IFERROR(Q227*B244,0)</f>
        <v>0</v>
      </c>
      <c r="N244" s="147">
        <f t="shared" si="97"/>
        <v>0</v>
      </c>
      <c r="O244" s="147">
        <f t="shared" si="98"/>
        <v>0</v>
      </c>
      <c r="P244" t="b">
        <f t="shared" si="99"/>
        <v>1</v>
      </c>
      <c r="S244" s="194" t="str">
        <f t="shared" si="93"/>
        <v>R</v>
      </c>
      <c r="T244" s="194" t="str">
        <f t="shared" ref="T244:X244" si="137">IF(T26="","",T26)</f>
        <v/>
      </c>
      <c r="U244" s="194" t="str">
        <f t="shared" si="137"/>
        <v/>
      </c>
      <c r="V244" s="194" t="str">
        <f t="shared" si="137"/>
        <v/>
      </c>
      <c r="W244" s="194" t="str">
        <f t="shared" si="137"/>
        <v/>
      </c>
      <c r="X244" s="125" t="str">
        <f t="shared" si="137"/>
        <v/>
      </c>
      <c r="Y244" s="753"/>
      <c r="Z244" s="753"/>
      <c r="AA244" s="1105">
        <f t="shared" si="101"/>
        <v>0</v>
      </c>
      <c r="AB244" s="1105"/>
      <c r="AC244" s="122">
        <f t="shared" si="102"/>
        <v>0</v>
      </c>
      <c r="AE244">
        <f>IFERROR(AI227*T244,0)</f>
        <v>0</v>
      </c>
      <c r="AF244" s="147">
        <f t="shared" si="103"/>
        <v>0</v>
      </c>
      <c r="AG244" s="147">
        <f t="shared" si="104"/>
        <v>0</v>
      </c>
      <c r="AH244" t="b">
        <f t="shared" si="105"/>
        <v>1</v>
      </c>
    </row>
    <row r="245" spans="1:34" x14ac:dyDescent="0.25">
      <c r="A245" s="194" t="str">
        <f t="shared" si="92"/>
        <v>S</v>
      </c>
      <c r="B245" s="194" t="str">
        <f t="shared" ref="B245:F245" si="138">IF(B27="","",B27)</f>
        <v/>
      </c>
      <c r="C245" s="194" t="str">
        <f t="shared" si="138"/>
        <v/>
      </c>
      <c r="D245" s="194" t="str">
        <f t="shared" si="138"/>
        <v/>
      </c>
      <c r="E245" s="194" t="str">
        <f t="shared" si="138"/>
        <v/>
      </c>
      <c r="F245" s="125" t="str">
        <f t="shared" si="138"/>
        <v/>
      </c>
      <c r="G245" s="753"/>
      <c r="H245" s="753"/>
      <c r="I245" s="1105">
        <f t="shared" si="95"/>
        <v>0</v>
      </c>
      <c r="J245" s="1105"/>
      <c r="K245" s="122">
        <f t="shared" si="96"/>
        <v>0</v>
      </c>
      <c r="M245">
        <f>IFERROR(Q227*B245,0)</f>
        <v>0</v>
      </c>
      <c r="N245" s="147">
        <f t="shared" si="97"/>
        <v>0</v>
      </c>
      <c r="O245" s="147">
        <f t="shared" si="98"/>
        <v>0</v>
      </c>
      <c r="P245" t="b">
        <f t="shared" si="99"/>
        <v>1</v>
      </c>
      <c r="S245" s="194" t="str">
        <f t="shared" si="93"/>
        <v>S</v>
      </c>
      <c r="T245" s="194" t="str">
        <f t="shared" ref="T245:X245" si="139">IF(T27="","",T27)</f>
        <v/>
      </c>
      <c r="U245" s="194" t="str">
        <f t="shared" si="139"/>
        <v/>
      </c>
      <c r="V245" s="194" t="str">
        <f t="shared" si="139"/>
        <v/>
      </c>
      <c r="W245" s="194" t="str">
        <f t="shared" si="139"/>
        <v/>
      </c>
      <c r="X245" s="125" t="str">
        <f t="shared" si="139"/>
        <v/>
      </c>
      <c r="Y245" s="753"/>
      <c r="Z245" s="753"/>
      <c r="AA245" s="1105">
        <f t="shared" si="101"/>
        <v>0</v>
      </c>
      <c r="AB245" s="1105"/>
      <c r="AC245" s="122">
        <f t="shared" si="102"/>
        <v>0</v>
      </c>
      <c r="AE245">
        <f>IFERROR(AI227*T245,0)</f>
        <v>0</v>
      </c>
      <c r="AF245" s="147">
        <f t="shared" si="103"/>
        <v>0</v>
      </c>
      <c r="AG245" s="147">
        <f t="shared" si="104"/>
        <v>0</v>
      </c>
      <c r="AH245" t="b">
        <f t="shared" si="105"/>
        <v>1</v>
      </c>
    </row>
    <row r="246" spans="1:34" x14ac:dyDescent="0.25">
      <c r="A246" s="194" t="str">
        <f t="shared" si="92"/>
        <v>T</v>
      </c>
      <c r="B246" s="194" t="str">
        <f t="shared" ref="B246:F246" si="140">IF(B28="","",B28)</f>
        <v/>
      </c>
      <c r="C246" s="194" t="str">
        <f t="shared" si="140"/>
        <v/>
      </c>
      <c r="D246" s="194" t="str">
        <f t="shared" si="140"/>
        <v/>
      </c>
      <c r="E246" s="194" t="str">
        <f t="shared" si="140"/>
        <v/>
      </c>
      <c r="F246" s="125" t="str">
        <f t="shared" si="140"/>
        <v/>
      </c>
      <c r="G246" s="753"/>
      <c r="H246" s="753"/>
      <c r="I246" s="1105">
        <f t="shared" si="95"/>
        <v>0</v>
      </c>
      <c r="J246" s="1105"/>
      <c r="K246" s="122">
        <f t="shared" si="96"/>
        <v>0</v>
      </c>
      <c r="M246">
        <f>IFERROR(Q227*B246,0)</f>
        <v>0</v>
      </c>
      <c r="N246" s="147">
        <f t="shared" si="97"/>
        <v>0</v>
      </c>
      <c r="O246" s="147">
        <f t="shared" si="98"/>
        <v>0</v>
      </c>
      <c r="P246" t="b">
        <f t="shared" si="99"/>
        <v>1</v>
      </c>
      <c r="S246" s="194" t="str">
        <f t="shared" si="93"/>
        <v>T</v>
      </c>
      <c r="T246" s="194" t="str">
        <f t="shared" ref="T246:X246" si="141">IF(T28="","",T28)</f>
        <v/>
      </c>
      <c r="U246" s="194" t="str">
        <f t="shared" si="141"/>
        <v/>
      </c>
      <c r="V246" s="194" t="str">
        <f t="shared" si="141"/>
        <v/>
      </c>
      <c r="W246" s="194" t="str">
        <f t="shared" si="141"/>
        <v/>
      </c>
      <c r="X246" s="125" t="str">
        <f t="shared" si="141"/>
        <v/>
      </c>
      <c r="Y246" s="753"/>
      <c r="Z246" s="753"/>
      <c r="AA246" s="1105">
        <f t="shared" si="101"/>
        <v>0</v>
      </c>
      <c r="AB246" s="1105"/>
      <c r="AC246" s="122">
        <f t="shared" si="102"/>
        <v>0</v>
      </c>
      <c r="AE246">
        <f>IFERROR(AI227*T246,0)</f>
        <v>0</v>
      </c>
      <c r="AF246" s="147">
        <f t="shared" si="103"/>
        <v>0</v>
      </c>
      <c r="AG246" s="147">
        <f t="shared" si="104"/>
        <v>0</v>
      </c>
      <c r="AH246" t="b">
        <f t="shared" si="105"/>
        <v>1</v>
      </c>
    </row>
    <row r="247" spans="1:34" x14ac:dyDescent="0.25">
      <c r="A247" s="194" t="str">
        <f t="shared" si="92"/>
        <v>U</v>
      </c>
      <c r="B247" s="194" t="str">
        <f t="shared" ref="B247:F247" si="142">IF(B29="","",B29)</f>
        <v/>
      </c>
      <c r="C247" s="194" t="str">
        <f t="shared" si="142"/>
        <v/>
      </c>
      <c r="D247" s="194" t="str">
        <f t="shared" si="142"/>
        <v/>
      </c>
      <c r="E247" s="194" t="str">
        <f t="shared" si="142"/>
        <v/>
      </c>
      <c r="F247" s="125" t="str">
        <f t="shared" si="142"/>
        <v/>
      </c>
      <c r="G247" s="753"/>
      <c r="H247" s="753"/>
      <c r="I247" s="1105">
        <f t="shared" si="95"/>
        <v>0</v>
      </c>
      <c r="J247" s="1105"/>
      <c r="K247" s="122">
        <f t="shared" si="96"/>
        <v>0</v>
      </c>
      <c r="M247">
        <f>IFERROR(Q227*B247,0)</f>
        <v>0</v>
      </c>
      <c r="N247" s="147">
        <f t="shared" si="97"/>
        <v>0</v>
      </c>
      <c r="O247" s="147">
        <f t="shared" si="98"/>
        <v>0</v>
      </c>
      <c r="P247" t="b">
        <f t="shared" si="99"/>
        <v>1</v>
      </c>
      <c r="S247" s="194" t="str">
        <f t="shared" si="93"/>
        <v>U</v>
      </c>
      <c r="T247" s="194" t="str">
        <f t="shared" ref="T247:X247" si="143">IF(T29="","",T29)</f>
        <v/>
      </c>
      <c r="U247" s="194" t="str">
        <f t="shared" si="143"/>
        <v/>
      </c>
      <c r="V247" s="194" t="str">
        <f t="shared" si="143"/>
        <v/>
      </c>
      <c r="W247" s="194" t="str">
        <f t="shared" si="143"/>
        <v/>
      </c>
      <c r="X247" s="125" t="str">
        <f t="shared" si="143"/>
        <v/>
      </c>
      <c r="Y247" s="753"/>
      <c r="Z247" s="753"/>
      <c r="AA247" s="1105">
        <f t="shared" si="101"/>
        <v>0</v>
      </c>
      <c r="AB247" s="1105"/>
      <c r="AC247" s="122">
        <f t="shared" si="102"/>
        <v>0</v>
      </c>
      <c r="AE247">
        <f>IFERROR(AI227*T247,0)</f>
        <v>0</v>
      </c>
      <c r="AF247" s="147">
        <f t="shared" si="103"/>
        <v>0</v>
      </c>
      <c r="AG247" s="147">
        <f t="shared" si="104"/>
        <v>0</v>
      </c>
      <c r="AH247" t="b">
        <f t="shared" si="105"/>
        <v>1</v>
      </c>
    </row>
    <row r="248" spans="1:34" x14ac:dyDescent="0.25">
      <c r="A248" s="194" t="str">
        <f t="shared" si="92"/>
        <v>V</v>
      </c>
      <c r="B248" s="194" t="str">
        <f t="shared" ref="B248:F248" si="144">IF(B30="","",B30)</f>
        <v/>
      </c>
      <c r="C248" s="194" t="str">
        <f t="shared" si="144"/>
        <v/>
      </c>
      <c r="D248" s="194" t="str">
        <f t="shared" si="144"/>
        <v/>
      </c>
      <c r="E248" s="194" t="str">
        <f t="shared" si="144"/>
        <v/>
      </c>
      <c r="F248" s="125" t="str">
        <f t="shared" si="144"/>
        <v/>
      </c>
      <c r="G248" s="753"/>
      <c r="H248" s="753"/>
      <c r="I248" s="1105">
        <f t="shared" si="95"/>
        <v>0</v>
      </c>
      <c r="J248" s="1105"/>
      <c r="K248" s="122">
        <f t="shared" si="96"/>
        <v>0</v>
      </c>
      <c r="M248">
        <f>IFERROR(Q227*B248,0)</f>
        <v>0</v>
      </c>
      <c r="N248" s="147">
        <f t="shared" si="97"/>
        <v>0</v>
      </c>
      <c r="O248" s="147">
        <f t="shared" si="98"/>
        <v>0</v>
      </c>
      <c r="P248" t="b">
        <f t="shared" si="99"/>
        <v>1</v>
      </c>
      <c r="S248" s="194" t="str">
        <f t="shared" si="93"/>
        <v>V</v>
      </c>
      <c r="T248" s="194" t="str">
        <f t="shared" ref="T248:X248" si="145">IF(T30="","",T30)</f>
        <v/>
      </c>
      <c r="U248" s="194" t="str">
        <f t="shared" si="145"/>
        <v/>
      </c>
      <c r="V248" s="194" t="str">
        <f t="shared" si="145"/>
        <v/>
      </c>
      <c r="W248" s="194" t="str">
        <f t="shared" si="145"/>
        <v/>
      </c>
      <c r="X248" s="125" t="str">
        <f t="shared" si="145"/>
        <v/>
      </c>
      <c r="Y248" s="753"/>
      <c r="Z248" s="753"/>
      <c r="AA248" s="1105">
        <f t="shared" si="101"/>
        <v>0</v>
      </c>
      <c r="AB248" s="1105"/>
      <c r="AC248" s="122">
        <f t="shared" si="102"/>
        <v>0</v>
      </c>
      <c r="AE248">
        <f>IFERROR(AI227*T248,0)</f>
        <v>0</v>
      </c>
      <c r="AF248" s="147">
        <f t="shared" si="103"/>
        <v>0</v>
      </c>
      <c r="AG248" s="147">
        <f t="shared" si="104"/>
        <v>0</v>
      </c>
      <c r="AH248" t="b">
        <f t="shared" si="105"/>
        <v>1</v>
      </c>
    </row>
    <row r="249" spans="1:34" x14ac:dyDescent="0.25">
      <c r="A249" s="194" t="str">
        <f t="shared" si="92"/>
        <v>W</v>
      </c>
      <c r="B249" s="194" t="str">
        <f t="shared" ref="B249:F249" si="146">IF(B31="","",B31)</f>
        <v/>
      </c>
      <c r="C249" s="194" t="str">
        <f t="shared" si="146"/>
        <v/>
      </c>
      <c r="D249" s="194" t="str">
        <f t="shared" si="146"/>
        <v/>
      </c>
      <c r="E249" s="194" t="str">
        <f t="shared" si="146"/>
        <v/>
      </c>
      <c r="F249" s="125" t="str">
        <f t="shared" si="146"/>
        <v/>
      </c>
      <c r="G249" s="753"/>
      <c r="H249" s="753"/>
      <c r="I249" s="1105">
        <f t="shared" si="95"/>
        <v>0</v>
      </c>
      <c r="J249" s="1105"/>
      <c r="K249" s="122">
        <f t="shared" si="96"/>
        <v>0</v>
      </c>
      <c r="M249">
        <f>IFERROR(Q227*B249,0)</f>
        <v>0</v>
      </c>
      <c r="N249" s="147">
        <f t="shared" si="97"/>
        <v>0</v>
      </c>
      <c r="O249" s="147">
        <f t="shared" si="98"/>
        <v>0</v>
      </c>
      <c r="P249" t="b">
        <f t="shared" si="99"/>
        <v>1</v>
      </c>
      <c r="S249" s="194" t="str">
        <f t="shared" si="93"/>
        <v>W</v>
      </c>
      <c r="T249" s="194" t="str">
        <f t="shared" ref="T249:X249" si="147">IF(T31="","",T31)</f>
        <v/>
      </c>
      <c r="U249" s="194" t="str">
        <f t="shared" si="147"/>
        <v/>
      </c>
      <c r="V249" s="194" t="str">
        <f t="shared" si="147"/>
        <v/>
      </c>
      <c r="W249" s="194" t="str">
        <f t="shared" si="147"/>
        <v/>
      </c>
      <c r="X249" s="125" t="str">
        <f t="shared" si="147"/>
        <v/>
      </c>
      <c r="Y249" s="753"/>
      <c r="Z249" s="753"/>
      <c r="AA249" s="1105">
        <f t="shared" si="101"/>
        <v>0</v>
      </c>
      <c r="AB249" s="1105"/>
      <c r="AC249" s="122">
        <f t="shared" si="102"/>
        <v>0</v>
      </c>
      <c r="AE249">
        <f>IFERROR(AI227*T249,0)</f>
        <v>0</v>
      </c>
      <c r="AF249" s="147">
        <f t="shared" si="103"/>
        <v>0</v>
      </c>
      <c r="AG249" s="147">
        <f t="shared" si="104"/>
        <v>0</v>
      </c>
      <c r="AH249" t="b">
        <f t="shared" si="105"/>
        <v>1</v>
      </c>
    </row>
    <row r="250" spans="1:34" x14ac:dyDescent="0.25">
      <c r="A250" s="194" t="str">
        <f t="shared" si="92"/>
        <v>X</v>
      </c>
      <c r="B250" s="194" t="str">
        <f t="shared" ref="B250:F250" si="148">IF(B32="","",B32)</f>
        <v/>
      </c>
      <c r="C250" s="194" t="str">
        <f t="shared" si="148"/>
        <v/>
      </c>
      <c r="D250" s="194" t="str">
        <f t="shared" si="148"/>
        <v/>
      </c>
      <c r="E250" s="194" t="str">
        <f t="shared" si="148"/>
        <v/>
      </c>
      <c r="F250" s="125" t="str">
        <f t="shared" si="148"/>
        <v/>
      </c>
      <c r="G250" s="753"/>
      <c r="H250" s="753"/>
      <c r="I250" s="1105">
        <f t="shared" si="95"/>
        <v>0</v>
      </c>
      <c r="J250" s="1105"/>
      <c r="K250" s="122">
        <f t="shared" si="96"/>
        <v>0</v>
      </c>
      <c r="M250">
        <f>IFERROR(Q227*B250,0)</f>
        <v>0</v>
      </c>
      <c r="N250" s="147">
        <f t="shared" si="97"/>
        <v>0</v>
      </c>
      <c r="O250" s="147">
        <f t="shared" si="98"/>
        <v>0</v>
      </c>
      <c r="P250" t="b">
        <f t="shared" si="99"/>
        <v>1</v>
      </c>
      <c r="S250" s="194" t="str">
        <f t="shared" si="93"/>
        <v>X</v>
      </c>
      <c r="T250" s="194" t="str">
        <f t="shared" ref="T250:X250" si="149">IF(T32="","",T32)</f>
        <v/>
      </c>
      <c r="U250" s="194" t="str">
        <f t="shared" si="149"/>
        <v/>
      </c>
      <c r="V250" s="194" t="str">
        <f t="shared" si="149"/>
        <v/>
      </c>
      <c r="W250" s="194" t="str">
        <f t="shared" si="149"/>
        <v/>
      </c>
      <c r="X250" s="125" t="str">
        <f t="shared" si="149"/>
        <v/>
      </c>
      <c r="Y250" s="753"/>
      <c r="Z250" s="753"/>
      <c r="AA250" s="1105">
        <f t="shared" si="101"/>
        <v>0</v>
      </c>
      <c r="AB250" s="1105"/>
      <c r="AC250" s="122">
        <f t="shared" si="102"/>
        <v>0</v>
      </c>
      <c r="AE250">
        <f>IFERROR(AI227*T250,0)</f>
        <v>0</v>
      </c>
      <c r="AF250" s="147">
        <f t="shared" si="103"/>
        <v>0</v>
      </c>
      <c r="AG250" s="147">
        <f t="shared" si="104"/>
        <v>0</v>
      </c>
      <c r="AH250" t="b">
        <f t="shared" si="105"/>
        <v>1</v>
      </c>
    </row>
    <row r="251" spans="1:34" x14ac:dyDescent="0.25">
      <c r="A251" s="194" t="str">
        <f t="shared" si="92"/>
        <v>Y</v>
      </c>
      <c r="B251" s="194" t="str">
        <f t="shared" ref="B251:F251" si="150">IF(B33="","",B33)</f>
        <v/>
      </c>
      <c r="C251" s="194" t="str">
        <f t="shared" si="150"/>
        <v/>
      </c>
      <c r="D251" s="194" t="str">
        <f t="shared" si="150"/>
        <v/>
      </c>
      <c r="E251" s="194" t="str">
        <f t="shared" si="150"/>
        <v/>
      </c>
      <c r="F251" s="125" t="str">
        <f t="shared" si="150"/>
        <v/>
      </c>
      <c r="G251" s="753"/>
      <c r="H251" s="753"/>
      <c r="I251" s="1105">
        <f t="shared" si="95"/>
        <v>0</v>
      </c>
      <c r="J251" s="1105"/>
      <c r="K251" s="122">
        <f t="shared" si="96"/>
        <v>0</v>
      </c>
      <c r="M251">
        <f>IFERROR(Q227*B251,0)</f>
        <v>0</v>
      </c>
      <c r="N251" s="147">
        <f t="shared" si="97"/>
        <v>0</v>
      </c>
      <c r="O251" s="147">
        <f t="shared" si="98"/>
        <v>0</v>
      </c>
      <c r="P251" t="b">
        <f t="shared" si="99"/>
        <v>1</v>
      </c>
      <c r="S251" s="194" t="str">
        <f t="shared" si="93"/>
        <v>Y</v>
      </c>
      <c r="T251" s="194" t="str">
        <f t="shared" ref="T251:X251" si="151">IF(T33="","",T33)</f>
        <v/>
      </c>
      <c r="U251" s="194" t="str">
        <f t="shared" si="151"/>
        <v/>
      </c>
      <c r="V251" s="194" t="str">
        <f t="shared" si="151"/>
        <v/>
      </c>
      <c r="W251" s="194" t="str">
        <f t="shared" si="151"/>
        <v/>
      </c>
      <c r="X251" s="125" t="str">
        <f t="shared" si="151"/>
        <v/>
      </c>
      <c r="Y251" s="753"/>
      <c r="Z251" s="753"/>
      <c r="AA251" s="1105">
        <f t="shared" si="101"/>
        <v>0</v>
      </c>
      <c r="AB251" s="1105"/>
      <c r="AC251" s="122">
        <f t="shared" si="102"/>
        <v>0</v>
      </c>
      <c r="AE251">
        <f>IFERROR(AI227*T251,0)</f>
        <v>0</v>
      </c>
      <c r="AF251" s="147">
        <f t="shared" si="103"/>
        <v>0</v>
      </c>
      <c r="AG251" s="147">
        <f t="shared" si="104"/>
        <v>0</v>
      </c>
      <c r="AH251" t="b">
        <f t="shared" si="105"/>
        <v>1</v>
      </c>
    </row>
    <row r="252" spans="1:34" x14ac:dyDescent="0.25">
      <c r="A252" s="194" t="str">
        <f t="shared" si="92"/>
        <v>Z</v>
      </c>
      <c r="B252" s="194" t="str">
        <f t="shared" ref="B252:F252" si="152">IF(B34="","",B34)</f>
        <v/>
      </c>
      <c r="C252" s="194" t="str">
        <f t="shared" si="152"/>
        <v/>
      </c>
      <c r="D252" s="194" t="str">
        <f t="shared" si="152"/>
        <v/>
      </c>
      <c r="E252" s="194" t="str">
        <f t="shared" si="152"/>
        <v/>
      </c>
      <c r="F252" s="125" t="str">
        <f t="shared" si="152"/>
        <v/>
      </c>
      <c r="G252" s="753"/>
      <c r="H252" s="753"/>
      <c r="I252" s="1105">
        <f>IFERROR(IF(F252="",0,F252*$H$49),"")</f>
        <v>0</v>
      </c>
      <c r="J252" s="1105"/>
      <c r="K252" s="122">
        <f t="shared" si="96"/>
        <v>0</v>
      </c>
      <c r="M252">
        <f>IFERROR(Q227*B252,0)</f>
        <v>0</v>
      </c>
      <c r="N252" s="147">
        <f t="shared" si="97"/>
        <v>0</v>
      </c>
      <c r="O252" s="147">
        <f t="shared" si="98"/>
        <v>0</v>
      </c>
      <c r="P252" t="b">
        <f t="shared" si="99"/>
        <v>1</v>
      </c>
      <c r="S252" s="194" t="str">
        <f t="shared" si="93"/>
        <v>Z</v>
      </c>
      <c r="T252" s="194" t="str">
        <f t="shared" ref="T252:X252" si="153">IF(T34="","",T34)</f>
        <v/>
      </c>
      <c r="U252" s="194" t="str">
        <f t="shared" si="153"/>
        <v/>
      </c>
      <c r="V252" s="194" t="str">
        <f t="shared" si="153"/>
        <v/>
      </c>
      <c r="W252" s="194" t="str">
        <f t="shared" si="153"/>
        <v/>
      </c>
      <c r="X252" s="125" t="str">
        <f t="shared" si="153"/>
        <v/>
      </c>
      <c r="Y252" s="753"/>
      <c r="Z252" s="753"/>
      <c r="AA252" s="1105">
        <f t="shared" si="101"/>
        <v>0</v>
      </c>
      <c r="AB252" s="1105"/>
      <c r="AC252" s="122">
        <f t="shared" si="102"/>
        <v>0</v>
      </c>
      <c r="AE252">
        <f>IFERROR(AI227*T252,0)</f>
        <v>0</v>
      </c>
      <c r="AF252" s="147">
        <f t="shared" si="103"/>
        <v>0</v>
      </c>
      <c r="AG252" s="147">
        <f t="shared" si="104"/>
        <v>0</v>
      </c>
      <c r="AH252" t="b">
        <f t="shared" si="105"/>
        <v>1</v>
      </c>
    </row>
    <row r="253" spans="1:34" x14ac:dyDescent="0.25">
      <c r="A253" s="147"/>
      <c r="B253" s="147"/>
      <c r="C253" s="147"/>
      <c r="D253" s="147"/>
      <c r="E253" s="789" t="s">
        <v>765</v>
      </c>
      <c r="F253" s="891"/>
      <c r="G253" s="1101">
        <f>SUM(G227:H252)</f>
        <v>0</v>
      </c>
      <c r="H253" s="1101"/>
      <c r="I253" s="468"/>
      <c r="J253" s="1102" t="str">
        <f>IF(K254="STOP","Cannot Use Hybrid Method","")</f>
        <v/>
      </c>
      <c r="K253" s="1103"/>
      <c r="S253" s="147"/>
      <c r="T253" s="147"/>
      <c r="U253" s="147"/>
      <c r="V253" s="147"/>
      <c r="W253" s="789" t="s">
        <v>765</v>
      </c>
      <c r="X253" s="891"/>
      <c r="Y253" s="1101">
        <f>SUM(Y227:Z252)</f>
        <v>0</v>
      </c>
      <c r="Z253" s="1101"/>
      <c r="AA253" s="468"/>
      <c r="AB253" s="1102" t="str">
        <f>IF(AC254="STOP","Cannot Use Hybrid Method","")</f>
        <v/>
      </c>
      <c r="AC253" s="1103"/>
    </row>
    <row r="254" spans="1:34" x14ac:dyDescent="0.25">
      <c r="E254" s="1104" t="s">
        <v>859</v>
      </c>
      <c r="F254" s="1104"/>
      <c r="G254" s="1104"/>
      <c r="H254" s="1104"/>
      <c r="I254" s="1104"/>
      <c r="J254" s="467" t="str">
        <f>IF(COUNTIF(P227:P252,"False"),"No","Yes")</f>
        <v>Yes</v>
      </c>
      <c r="K254" s="194" t="str">
        <f>IF(J254="Yes","Continue","STOP")</f>
        <v>Continue</v>
      </c>
      <c r="W254" s="1104" t="s">
        <v>859</v>
      </c>
      <c r="X254" s="1104"/>
      <c r="Y254" s="1104"/>
      <c r="Z254" s="1104"/>
      <c r="AA254" s="1104"/>
      <c r="AB254" s="467" t="str">
        <f>IF(COUNTIF(AH227:AH252,"False"),"No","Yes")</f>
        <v>Yes</v>
      </c>
      <c r="AC254" s="194" t="str">
        <f>IF(AB254="Yes","Continue","STOP")</f>
        <v>Continue</v>
      </c>
    </row>
    <row r="255" spans="1:34" x14ac:dyDescent="0.25">
      <c r="B255" s="878" t="s">
        <v>865</v>
      </c>
      <c r="C255" s="878"/>
      <c r="D255" s="878"/>
      <c r="E255" s="878"/>
      <c r="F255" s="878"/>
      <c r="G255" s="878"/>
      <c r="H255" s="878"/>
      <c r="I255" s="878"/>
      <c r="J255" s="878"/>
      <c r="K255" s="465">
        <f>SUM(K227:K252)</f>
        <v>0</v>
      </c>
      <c r="T255" s="878" t="s">
        <v>1012</v>
      </c>
      <c r="U255" s="878"/>
      <c r="V255" s="878"/>
      <c r="W255" s="878"/>
      <c r="X255" s="878"/>
      <c r="Y255" s="878"/>
      <c r="Z255" s="878"/>
      <c r="AA255" s="878"/>
      <c r="AB255" s="878"/>
      <c r="AC255" s="465">
        <f>SUM(AC227:AC252)</f>
        <v>0</v>
      </c>
    </row>
    <row r="256" spans="1:34" x14ac:dyDescent="0.25">
      <c r="B256" s="878" t="s">
        <v>815</v>
      </c>
      <c r="C256" s="878"/>
      <c r="D256" s="878"/>
      <c r="E256" s="878"/>
      <c r="F256" s="878"/>
      <c r="G256" s="878"/>
      <c r="H256" s="878"/>
      <c r="I256" s="878"/>
      <c r="J256" s="878"/>
      <c r="K256" s="122">
        <f>IF(I53="Yes",C52,0)</f>
        <v>0</v>
      </c>
      <c r="T256" s="878" t="s">
        <v>998</v>
      </c>
      <c r="U256" s="878"/>
      <c r="V256" s="878"/>
      <c r="W256" s="878"/>
      <c r="X256" s="878"/>
      <c r="Y256" s="878"/>
      <c r="Z256" s="878"/>
      <c r="AA256" s="878"/>
      <c r="AB256" s="878"/>
      <c r="AC256" s="122">
        <f>IF(AA53="Yes",U52,0)</f>
        <v>0</v>
      </c>
    </row>
    <row r="257" spans="1:29" ht="15.75" x14ac:dyDescent="0.25">
      <c r="B257" s="674" t="s">
        <v>816</v>
      </c>
      <c r="C257" s="674"/>
      <c r="D257" s="674"/>
      <c r="E257" s="674"/>
      <c r="F257" s="674"/>
      <c r="G257" s="674"/>
      <c r="H257" s="674"/>
      <c r="I257" s="674"/>
      <c r="J257" s="674"/>
      <c r="K257" s="466">
        <f>SUM(K255:K256)</f>
        <v>0</v>
      </c>
      <c r="T257" s="674" t="s">
        <v>989</v>
      </c>
      <c r="U257" s="674"/>
      <c r="V257" s="674"/>
      <c r="W257" s="674"/>
      <c r="X257" s="674"/>
      <c r="Y257" s="674"/>
      <c r="Z257" s="674"/>
      <c r="AA257" s="674"/>
      <c r="AB257" s="674"/>
      <c r="AC257" s="466">
        <f>SUM(AC255:AC256)</f>
        <v>0</v>
      </c>
    </row>
    <row r="259" spans="1:29" ht="18.75" x14ac:dyDescent="0.3">
      <c r="A259" s="805" t="s">
        <v>994</v>
      </c>
      <c r="B259" s="805"/>
      <c r="C259" s="805"/>
      <c r="D259" s="805"/>
      <c r="E259" s="805"/>
      <c r="F259" s="805"/>
      <c r="G259" s="805"/>
      <c r="H259" s="805"/>
      <c r="I259" s="805"/>
      <c r="J259" s="805"/>
      <c r="K259" s="805"/>
      <c r="S259" s="805" t="s">
        <v>995</v>
      </c>
      <c r="T259" s="805"/>
      <c r="U259" s="805"/>
      <c r="V259" s="805"/>
      <c r="W259" s="805"/>
      <c r="X259" s="805"/>
      <c r="Y259" s="805"/>
      <c r="Z259" s="805"/>
      <c r="AA259" s="805"/>
      <c r="AB259" s="805"/>
      <c r="AC259" s="805"/>
    </row>
    <row r="260" spans="1:29" x14ac:dyDescent="0.25">
      <c r="C260" s="433" t="s">
        <v>846</v>
      </c>
      <c r="D260" s="655" t="s">
        <v>40</v>
      </c>
      <c r="E260" s="655"/>
      <c r="F260" s="655" t="s">
        <v>818</v>
      </c>
      <c r="G260" s="655"/>
      <c r="H260" s="655"/>
      <c r="I260" s="655" t="s">
        <v>819</v>
      </c>
      <c r="J260" s="655"/>
      <c r="U260" s="433" t="s">
        <v>1000</v>
      </c>
      <c r="V260" s="655" t="s">
        <v>40</v>
      </c>
      <c r="W260" s="655"/>
      <c r="X260" s="655" t="s">
        <v>818</v>
      </c>
      <c r="Y260" s="655"/>
      <c r="Z260" s="655"/>
      <c r="AA260" s="655" t="s">
        <v>819</v>
      </c>
      <c r="AB260" s="655"/>
    </row>
    <row r="261" spans="1:29" x14ac:dyDescent="0.25">
      <c r="C261" s="462">
        <f>SUMIF(D227:D252,D261,G227:H252)</f>
        <v>0</v>
      </c>
      <c r="D261" s="926" t="s">
        <v>57</v>
      </c>
      <c r="E261" s="926"/>
      <c r="F261" s="1099" cm="1">
        <f t="array" aca="1" ref="F261" ca="1">IF($B$4=(INDIRECT("'"&amp;$C$46&amp;"'!$C$64")),INDIRECT("'"&amp;$C$46&amp;"'!$C$65"),INDIRECT("'"&amp;$C$46&amp;"'!$B$65"))</f>
        <v>191973.6</v>
      </c>
      <c r="G261" s="1099"/>
      <c r="H261" s="1099"/>
      <c r="I261" s="1099">
        <f ca="1">C261*F261</f>
        <v>0</v>
      </c>
      <c r="J261" s="1099"/>
      <c r="U261" s="462">
        <f>SUMIF(V227:V252,V261,Y227:Z252)</f>
        <v>0</v>
      </c>
      <c r="V261" s="926" t="s">
        <v>57</v>
      </c>
      <c r="W261" s="926"/>
      <c r="X261" s="1099" cm="1">
        <f t="array" aca="1" ref="X261" ca="1">IF($T$4=(INDIRECT("'"&amp;$U$46&amp;"'!$C$64")),INDIRECT("'"&amp;$U$46&amp;"'!$C$65"),INDIRECT("'"&amp;$U$46&amp;"'!$B$65"))</f>
        <v>191973.6</v>
      </c>
      <c r="Y261" s="1099"/>
      <c r="Z261" s="1099"/>
      <c r="AA261" s="1099">
        <f ca="1">U261*X261</f>
        <v>0</v>
      </c>
      <c r="AB261" s="1099"/>
    </row>
    <row r="262" spans="1:29" x14ac:dyDescent="0.25">
      <c r="C262" s="462">
        <f>SUMIF(D227:D252,D262,G227:H252)</f>
        <v>0</v>
      </c>
      <c r="D262" s="926">
        <v>1</v>
      </c>
      <c r="E262" s="926"/>
      <c r="F262" s="1099" cm="1">
        <f t="array" aca="1" ref="F262" ca="1">IF($B$4=(INDIRECT("'"&amp;$C$46&amp;"'!$C$64")),INDIRECT("'"&amp;$C$46&amp;"'!$C$66"),INDIRECT("'"&amp;$C$46&amp;"'!$B$66"))</f>
        <v>220068</v>
      </c>
      <c r="G262" s="1099"/>
      <c r="H262" s="1099"/>
      <c r="I262" s="1099">
        <f ca="1">C262*F262</f>
        <v>0</v>
      </c>
      <c r="J262" s="1099"/>
      <c r="U262" s="462">
        <f>SUMIF(V227:V252,V262,Y227:Z252)</f>
        <v>0</v>
      </c>
      <c r="V262" s="926">
        <v>1</v>
      </c>
      <c r="W262" s="926"/>
      <c r="X262" s="1099" cm="1">
        <f t="array" aca="1" ref="X262" ca="1">IF($T$4=(INDIRECT("'"&amp;$U$46&amp;"'!$C$64")),INDIRECT("'"&amp;$U$46&amp;"'!$C$66"),INDIRECT("'"&amp;$U$46&amp;"'!$B$66"))</f>
        <v>220068</v>
      </c>
      <c r="Y262" s="1099"/>
      <c r="Z262" s="1099"/>
      <c r="AA262" s="1099">
        <f ca="1">U262*X262</f>
        <v>0</v>
      </c>
      <c r="AB262" s="1099"/>
    </row>
    <row r="263" spans="1:29" x14ac:dyDescent="0.25">
      <c r="C263" s="462">
        <f>SUMIF(D227:D252,D263,G227:H252)</f>
        <v>0</v>
      </c>
      <c r="D263" s="926">
        <v>2</v>
      </c>
      <c r="E263" s="926"/>
      <c r="F263" s="1099" cm="1">
        <f t="array" aca="1" ref="F263" ca="1">IF($B$4=(INDIRECT("'"&amp;$C$46&amp;"'!$C$64")),INDIRECT("'"&amp;$C$46&amp;"'!$C$67"),INDIRECT("'"&amp;$C$46&amp;"'!$B$67"))</f>
        <v>267609.59999999998</v>
      </c>
      <c r="G263" s="1099"/>
      <c r="H263" s="1099"/>
      <c r="I263" s="1099">
        <f ca="1">C263*F263</f>
        <v>0</v>
      </c>
      <c r="J263" s="1099"/>
      <c r="U263" s="462">
        <f>SUMIF(V227:V252,V263,Y227:Z252)</f>
        <v>0</v>
      </c>
      <c r="V263" s="926">
        <v>2</v>
      </c>
      <c r="W263" s="926"/>
      <c r="X263" s="1099" cm="1">
        <f t="array" aca="1" ref="X263" ca="1">IF($T$4=(INDIRECT("'"&amp;$U$46&amp;"'!$C$64")),INDIRECT("'"&amp;$U$46&amp;"'!$C$67"),INDIRECT("'"&amp;$U$46&amp;"'!$B$67"))</f>
        <v>267609.59999999998</v>
      </c>
      <c r="Y263" s="1099"/>
      <c r="Z263" s="1099"/>
      <c r="AA263" s="1099">
        <f ca="1">U263*X263</f>
        <v>0</v>
      </c>
      <c r="AB263" s="1099"/>
    </row>
    <row r="264" spans="1:29" x14ac:dyDescent="0.25">
      <c r="C264" s="462">
        <f>SUMIF(D227:D252,D264,G227:H252)</f>
        <v>0</v>
      </c>
      <c r="D264" s="926">
        <v>3</v>
      </c>
      <c r="E264" s="926"/>
      <c r="F264" s="1099" cm="1">
        <f t="array" aca="1" ref="F264" ca="1">IF($B$4=(INDIRECT("'"&amp;$C$46&amp;"'!$C$64")),INDIRECT("'"&amp;$C$46&amp;"'!$C$68"),INDIRECT("'"&amp;$C$46&amp;"'!$B$68"))</f>
        <v>346202.39999999997</v>
      </c>
      <c r="G264" s="1099"/>
      <c r="H264" s="1099"/>
      <c r="I264" s="1099">
        <f ca="1">C264*F264</f>
        <v>0</v>
      </c>
      <c r="J264" s="1099"/>
      <c r="U264" s="462">
        <f>SUMIF(V227:V252,V264,Y227:Z252)</f>
        <v>0</v>
      </c>
      <c r="V264" s="926">
        <v>3</v>
      </c>
      <c r="W264" s="926"/>
      <c r="X264" s="1099" cm="1">
        <f t="array" aca="1" ref="X264" ca="1">IF($T$4=(INDIRECT("'"&amp;$U$46&amp;"'!$C$64")),INDIRECT("'"&amp;$U$46&amp;"'!$C$68"),INDIRECT("'"&amp;$U$46&amp;"'!$B$68"))</f>
        <v>346202.39999999997</v>
      </c>
      <c r="Y264" s="1099"/>
      <c r="Z264" s="1099"/>
      <c r="AA264" s="1099">
        <f ca="1">U264*X264</f>
        <v>0</v>
      </c>
      <c r="AB264" s="1099"/>
    </row>
    <row r="265" spans="1:29" x14ac:dyDescent="0.25">
      <c r="C265" s="462">
        <f>SUMIF(D227:D252,D265,G227:H252)</f>
        <v>0</v>
      </c>
      <c r="D265" s="926">
        <v>4</v>
      </c>
      <c r="E265" s="926"/>
      <c r="F265" s="1099" cm="1">
        <f t="array" aca="1" ref="F265" ca="1">IF($B$4=(INDIRECT("'"&amp;$C$46&amp;"'!$C$64")),INDIRECT("'"&amp;$C$46&amp;"'!$C$69"),INDIRECT("'"&amp;$C$46&amp;"'!$B$69"))</f>
        <v>380018.39999999997</v>
      </c>
      <c r="G265" s="1099"/>
      <c r="H265" s="1099"/>
      <c r="I265" s="1099">
        <f ca="1">C265*F265</f>
        <v>0</v>
      </c>
      <c r="J265" s="1099"/>
      <c r="U265" s="462">
        <f>SUMIF(V227:V252,V265,Y227:Z252)</f>
        <v>0</v>
      </c>
      <c r="V265" s="926">
        <v>4</v>
      </c>
      <c r="W265" s="926"/>
      <c r="X265" s="1099" cm="1">
        <f t="array" aca="1" ref="X265" ca="1">IF($T$4=(INDIRECT("'"&amp;$U$46&amp;"'!$C$64")),INDIRECT("'"&amp;$U$46&amp;"'!$C$69"),INDIRECT("'"&amp;$U$46&amp;"'!$B$69"))</f>
        <v>380018.39999999997</v>
      </c>
      <c r="Y265" s="1099"/>
      <c r="Z265" s="1099"/>
      <c r="AA265" s="1099">
        <f ca="1">U265*X265</f>
        <v>0</v>
      </c>
      <c r="AB265" s="1099"/>
    </row>
    <row r="266" spans="1:29" ht="15.75" x14ac:dyDescent="0.25">
      <c r="H266" s="718" t="s">
        <v>817</v>
      </c>
      <c r="I266" s="719"/>
      <c r="J266" s="720"/>
      <c r="K266" s="466">
        <f ca="1">SUM(I261:J265)</f>
        <v>0</v>
      </c>
      <c r="Z266" s="718" t="s">
        <v>817</v>
      </c>
      <c r="AA266" s="719"/>
      <c r="AB266" s="720"/>
      <c r="AC266" s="466">
        <f ca="1">SUM(AA261:AB265)</f>
        <v>0</v>
      </c>
    </row>
    <row r="268" spans="1:29" ht="18.75" x14ac:dyDescent="0.3">
      <c r="A268" s="805" t="s">
        <v>820</v>
      </c>
      <c r="B268" s="805"/>
      <c r="C268" s="805"/>
      <c r="D268" s="805"/>
      <c r="E268" s="805"/>
      <c r="F268" s="805"/>
      <c r="G268" s="805"/>
      <c r="H268" s="805"/>
      <c r="I268" s="805"/>
      <c r="J268" s="805"/>
      <c r="K268" s="805"/>
      <c r="S268" s="805" t="s">
        <v>996</v>
      </c>
      <c r="T268" s="805"/>
      <c r="U268" s="805"/>
      <c r="V268" s="805"/>
      <c r="W268" s="805"/>
      <c r="X268" s="805"/>
      <c r="Y268" s="805"/>
      <c r="Z268" s="805"/>
      <c r="AA268" s="805"/>
      <c r="AB268" s="805"/>
      <c r="AC268" s="805"/>
    </row>
    <row r="269" spans="1:29" x14ac:dyDescent="0.25">
      <c r="B269" s="945" t="s">
        <v>821</v>
      </c>
      <c r="C269" s="945"/>
      <c r="D269" s="945"/>
      <c r="E269" s="945"/>
      <c r="F269" s="945"/>
      <c r="G269" s="945"/>
      <c r="H269" s="1100" t="s">
        <v>856</v>
      </c>
      <c r="I269" s="1100"/>
      <c r="J269" s="1100"/>
      <c r="T269" s="945" t="s">
        <v>997</v>
      </c>
      <c r="U269" s="945"/>
      <c r="V269" s="945"/>
      <c r="W269" s="945"/>
      <c r="X269" s="945"/>
      <c r="Y269" s="945"/>
      <c r="Z269" s="1100" t="s">
        <v>856</v>
      </c>
      <c r="AA269" s="1100"/>
      <c r="AB269" s="1100"/>
    </row>
    <row r="270" spans="1:29" x14ac:dyDescent="0.25">
      <c r="B270" s="945" t="s">
        <v>816</v>
      </c>
      <c r="C270" s="945"/>
      <c r="D270" s="945"/>
      <c r="E270" s="945"/>
      <c r="F270" s="945"/>
      <c r="G270" s="945"/>
      <c r="H270" s="1099">
        <f>K257</f>
        <v>0</v>
      </c>
      <c r="I270" s="1099"/>
      <c r="J270" s="1099"/>
      <c r="T270" s="945" t="s">
        <v>989</v>
      </c>
      <c r="U270" s="945"/>
      <c r="V270" s="945"/>
      <c r="W270" s="945"/>
      <c r="X270" s="945"/>
      <c r="Y270" s="945"/>
      <c r="Z270" s="1099">
        <f>AC257</f>
        <v>0</v>
      </c>
      <c r="AA270" s="1099"/>
      <c r="AB270" s="1099"/>
    </row>
    <row r="271" spans="1:29" x14ac:dyDescent="0.25">
      <c r="B271" s="945" t="s">
        <v>817</v>
      </c>
      <c r="C271" s="945"/>
      <c r="D271" s="945"/>
      <c r="E271" s="945"/>
      <c r="F271" s="945"/>
      <c r="G271" s="945"/>
      <c r="H271" s="1099">
        <f ca="1">K266</f>
        <v>0</v>
      </c>
      <c r="I271" s="1099"/>
      <c r="J271" s="1099"/>
      <c r="T271" s="945" t="s">
        <v>817</v>
      </c>
      <c r="U271" s="945"/>
      <c r="V271" s="945"/>
      <c r="W271" s="945"/>
      <c r="X271" s="945"/>
      <c r="Y271" s="945"/>
      <c r="Z271" s="1099">
        <f ca="1">AC266</f>
        <v>0</v>
      </c>
      <c r="AA271" s="1099"/>
      <c r="AB271" s="1099"/>
    </row>
    <row r="272" spans="1:29" ht="15.75" x14ac:dyDescent="0.25">
      <c r="H272" s="674" t="s">
        <v>822</v>
      </c>
      <c r="I272" s="674"/>
      <c r="J272" s="674"/>
      <c r="K272" s="466">
        <f ca="1">MIN(H270,H271)</f>
        <v>0</v>
      </c>
      <c r="Z272" s="674" t="s">
        <v>1003</v>
      </c>
      <c r="AA272" s="674"/>
      <c r="AB272" s="674"/>
      <c r="AC272" s="466">
        <f ca="1">MIN(Z270,Z271)</f>
        <v>0</v>
      </c>
    </row>
  </sheetData>
  <mergeCells count="776">
    <mergeCell ref="G45:H45"/>
    <mergeCell ref="I45:J45"/>
    <mergeCell ref="A44:K44"/>
    <mergeCell ref="A52:B52"/>
    <mergeCell ref="A51:C51"/>
    <mergeCell ref="A48:B49"/>
    <mergeCell ref="A39:K39"/>
    <mergeCell ref="A40:K40"/>
    <mergeCell ref="A42:K42"/>
    <mergeCell ref="A41:K41"/>
    <mergeCell ref="E48:G48"/>
    <mergeCell ref="E49:G49"/>
    <mergeCell ref="H49:I49"/>
    <mergeCell ref="H48:I48"/>
    <mergeCell ref="C48:C49"/>
    <mergeCell ref="E50:G50"/>
    <mergeCell ref="H50:I50"/>
    <mergeCell ref="A46:B46"/>
    <mergeCell ref="D69:H69"/>
    <mergeCell ref="A57:B58"/>
    <mergeCell ref="F59:K60"/>
    <mergeCell ref="D65:H65"/>
    <mergeCell ref="D66:H66"/>
    <mergeCell ref="J2:K2"/>
    <mergeCell ref="B2:I2"/>
    <mergeCell ref="A1:K1"/>
    <mergeCell ref="B3:I3"/>
    <mergeCell ref="A36:D36"/>
    <mergeCell ref="A38:C38"/>
    <mergeCell ref="A6:K6"/>
    <mergeCell ref="G7:J7"/>
    <mergeCell ref="K7:K8"/>
    <mergeCell ref="E36:F36"/>
    <mergeCell ref="G35:J35"/>
    <mergeCell ref="J3:K3"/>
    <mergeCell ref="H4:I4"/>
    <mergeCell ref="B4:F4"/>
    <mergeCell ref="A53:B53"/>
    <mergeCell ref="E53:H54"/>
    <mergeCell ref="I53:I54"/>
    <mergeCell ref="A45:B45"/>
    <mergeCell ref="D45:F45"/>
    <mergeCell ref="D85:H85"/>
    <mergeCell ref="D74:H74"/>
    <mergeCell ref="D75:H75"/>
    <mergeCell ref="D76:H76"/>
    <mergeCell ref="A63:K63"/>
    <mergeCell ref="C57:C58"/>
    <mergeCell ref="A56:B56"/>
    <mergeCell ref="A55:B55"/>
    <mergeCell ref="A54:B54"/>
    <mergeCell ref="D77:H77"/>
    <mergeCell ref="D78:H78"/>
    <mergeCell ref="D79:H79"/>
    <mergeCell ref="D80:H80"/>
    <mergeCell ref="D70:H70"/>
    <mergeCell ref="D71:H71"/>
    <mergeCell ref="D72:H72"/>
    <mergeCell ref="D73:H73"/>
    <mergeCell ref="D84:H84"/>
    <mergeCell ref="D81:H81"/>
    <mergeCell ref="D82:H82"/>
    <mergeCell ref="D83:H83"/>
    <mergeCell ref="E56:G56"/>
    <mergeCell ref="H56:I56"/>
    <mergeCell ref="E58:I58"/>
    <mergeCell ref="D67:H67"/>
    <mergeCell ref="D68:H68"/>
    <mergeCell ref="A62:K62"/>
    <mergeCell ref="A59:B59"/>
    <mergeCell ref="A60:B60"/>
    <mergeCell ref="A108:J108"/>
    <mergeCell ref="A107:J107"/>
    <mergeCell ref="A106:J106"/>
    <mergeCell ref="D101:H101"/>
    <mergeCell ref="D102:H102"/>
    <mergeCell ref="D103:H103"/>
    <mergeCell ref="D104:H104"/>
    <mergeCell ref="D105:H105"/>
    <mergeCell ref="D86:H86"/>
    <mergeCell ref="D87:H87"/>
    <mergeCell ref="D88:H88"/>
    <mergeCell ref="D89:H89"/>
    <mergeCell ref="D96:H96"/>
    <mergeCell ref="D97:H97"/>
    <mergeCell ref="D98:H98"/>
    <mergeCell ref="D99:H99"/>
    <mergeCell ref="D100:H100"/>
    <mergeCell ref="D90:H90"/>
    <mergeCell ref="D91:H91"/>
    <mergeCell ref="D92:H92"/>
    <mergeCell ref="D93:H93"/>
    <mergeCell ref="D95:H95"/>
    <mergeCell ref="D94:H94"/>
    <mergeCell ref="A110:K110"/>
    <mergeCell ref="I116:J116"/>
    <mergeCell ref="I115:J115"/>
    <mergeCell ref="I114:J114"/>
    <mergeCell ref="I113:J113"/>
    <mergeCell ref="I112:J112"/>
    <mergeCell ref="I111:J111"/>
    <mergeCell ref="F116:H116"/>
    <mergeCell ref="F115:H115"/>
    <mergeCell ref="F114:H114"/>
    <mergeCell ref="F113:H113"/>
    <mergeCell ref="F112:H112"/>
    <mergeCell ref="D116:E116"/>
    <mergeCell ref="F111:H111"/>
    <mergeCell ref="D115:E115"/>
    <mergeCell ref="D114:E114"/>
    <mergeCell ref="D113:E113"/>
    <mergeCell ref="H123:J123"/>
    <mergeCell ref="B122:G122"/>
    <mergeCell ref="B121:G121"/>
    <mergeCell ref="B120:G120"/>
    <mergeCell ref="H122:J122"/>
    <mergeCell ref="H121:J121"/>
    <mergeCell ref="H120:J120"/>
    <mergeCell ref="D112:E112"/>
    <mergeCell ref="D111:E111"/>
    <mergeCell ref="H117:J117"/>
    <mergeCell ref="A119:K119"/>
    <mergeCell ref="A125:K125"/>
    <mergeCell ref="I127:J127"/>
    <mergeCell ref="I128:J128"/>
    <mergeCell ref="G135:H135"/>
    <mergeCell ref="I135:J135"/>
    <mergeCell ref="G127:H127"/>
    <mergeCell ref="G128:H128"/>
    <mergeCell ref="G129:H129"/>
    <mergeCell ref="I129:J129"/>
    <mergeCell ref="G132:H132"/>
    <mergeCell ref="I132:J132"/>
    <mergeCell ref="G133:H133"/>
    <mergeCell ref="I133:J133"/>
    <mergeCell ref="G134:H134"/>
    <mergeCell ref="I134:J134"/>
    <mergeCell ref="G130:H130"/>
    <mergeCell ref="I130:J130"/>
    <mergeCell ref="G131:H131"/>
    <mergeCell ref="I131:J131"/>
    <mergeCell ref="G136:H136"/>
    <mergeCell ref="I136:J136"/>
    <mergeCell ref="G137:H137"/>
    <mergeCell ref="I137:J137"/>
    <mergeCell ref="G141:H141"/>
    <mergeCell ref="I141:J141"/>
    <mergeCell ref="G142:H142"/>
    <mergeCell ref="I142:J142"/>
    <mergeCell ref="G143:H143"/>
    <mergeCell ref="I143:J143"/>
    <mergeCell ref="G138:H138"/>
    <mergeCell ref="I138:J138"/>
    <mergeCell ref="G139:H139"/>
    <mergeCell ref="I139:J139"/>
    <mergeCell ref="G140:H140"/>
    <mergeCell ref="I140:J140"/>
    <mergeCell ref="G147:H147"/>
    <mergeCell ref="I147:J147"/>
    <mergeCell ref="G148:H148"/>
    <mergeCell ref="I148:J148"/>
    <mergeCell ref="G149:H149"/>
    <mergeCell ref="I149:J149"/>
    <mergeCell ref="G150:H150"/>
    <mergeCell ref="I150:J150"/>
    <mergeCell ref="G144:H144"/>
    <mergeCell ref="I144:J144"/>
    <mergeCell ref="G145:H145"/>
    <mergeCell ref="I145:J145"/>
    <mergeCell ref="G146:H146"/>
    <mergeCell ref="I146:J146"/>
    <mergeCell ref="B155:J155"/>
    <mergeCell ref="B154:J154"/>
    <mergeCell ref="A158:K158"/>
    <mergeCell ref="G153:H153"/>
    <mergeCell ref="I153:J153"/>
    <mergeCell ref="G151:H151"/>
    <mergeCell ref="I151:J151"/>
    <mergeCell ref="G152:H152"/>
    <mergeCell ref="I152:J152"/>
    <mergeCell ref="F160:H160"/>
    <mergeCell ref="I160:J160"/>
    <mergeCell ref="D161:E161"/>
    <mergeCell ref="F161:H161"/>
    <mergeCell ref="I161:J161"/>
    <mergeCell ref="D162:E162"/>
    <mergeCell ref="F162:H162"/>
    <mergeCell ref="I162:J162"/>
    <mergeCell ref="B156:J156"/>
    <mergeCell ref="H165:J165"/>
    <mergeCell ref="A167:K167"/>
    <mergeCell ref="B168:G168"/>
    <mergeCell ref="H168:J168"/>
    <mergeCell ref="B169:G169"/>
    <mergeCell ref="H169:J169"/>
    <mergeCell ref="D163:E163"/>
    <mergeCell ref="F163:H163"/>
    <mergeCell ref="I163:J163"/>
    <mergeCell ref="D164:E164"/>
    <mergeCell ref="F164:H164"/>
    <mergeCell ref="I164:J164"/>
    <mergeCell ref="G178:H178"/>
    <mergeCell ref="I178:J178"/>
    <mergeCell ref="G179:H179"/>
    <mergeCell ref="I179:J179"/>
    <mergeCell ref="B170:G170"/>
    <mergeCell ref="H170:J170"/>
    <mergeCell ref="H171:J171"/>
    <mergeCell ref="A173:K173"/>
    <mergeCell ref="G175:H175"/>
    <mergeCell ref="G176:H176"/>
    <mergeCell ref="I175:J175"/>
    <mergeCell ref="I176:J176"/>
    <mergeCell ref="G186:H186"/>
    <mergeCell ref="I186:J186"/>
    <mergeCell ref="G187:H187"/>
    <mergeCell ref="I187:J187"/>
    <mergeCell ref="G188:H188"/>
    <mergeCell ref="I188:J188"/>
    <mergeCell ref="D159:E159"/>
    <mergeCell ref="F159:H159"/>
    <mergeCell ref="I159:J159"/>
    <mergeCell ref="D160:E160"/>
    <mergeCell ref="G183:H183"/>
    <mergeCell ref="I183:J183"/>
    <mergeCell ref="G184:H184"/>
    <mergeCell ref="I184:J184"/>
    <mergeCell ref="G185:H185"/>
    <mergeCell ref="I185:J185"/>
    <mergeCell ref="G180:H180"/>
    <mergeCell ref="I180:J180"/>
    <mergeCell ref="G181:H181"/>
    <mergeCell ref="I181:J181"/>
    <mergeCell ref="G182:H182"/>
    <mergeCell ref="I182:J182"/>
    <mergeCell ref="G177:H177"/>
    <mergeCell ref="I177:J177"/>
    <mergeCell ref="G192:H192"/>
    <mergeCell ref="I192:J192"/>
    <mergeCell ref="G193:H193"/>
    <mergeCell ref="G194:H194"/>
    <mergeCell ref="G195:H195"/>
    <mergeCell ref="G196:H196"/>
    <mergeCell ref="G189:H189"/>
    <mergeCell ref="I189:J189"/>
    <mergeCell ref="G190:H190"/>
    <mergeCell ref="I190:J190"/>
    <mergeCell ref="G191:H191"/>
    <mergeCell ref="I191:J191"/>
    <mergeCell ref="G197:H197"/>
    <mergeCell ref="G198:H198"/>
    <mergeCell ref="G199:H199"/>
    <mergeCell ref="G200:H200"/>
    <mergeCell ref="G201:H201"/>
    <mergeCell ref="I193:J193"/>
    <mergeCell ref="I194:J194"/>
    <mergeCell ref="I195:J195"/>
    <mergeCell ref="I196:J196"/>
    <mergeCell ref="I197:J197"/>
    <mergeCell ref="A209:K209"/>
    <mergeCell ref="D210:E210"/>
    <mergeCell ref="F210:H210"/>
    <mergeCell ref="I210:J210"/>
    <mergeCell ref="D211:E211"/>
    <mergeCell ref="F211:H211"/>
    <mergeCell ref="I211:J211"/>
    <mergeCell ref="I198:J198"/>
    <mergeCell ref="I199:J199"/>
    <mergeCell ref="I200:J200"/>
    <mergeCell ref="I201:J201"/>
    <mergeCell ref="E204:I204"/>
    <mergeCell ref="I203:J203"/>
    <mergeCell ref="E203:H203"/>
    <mergeCell ref="B221:G221"/>
    <mergeCell ref="H221:J221"/>
    <mergeCell ref="H222:J222"/>
    <mergeCell ref="B205:J205"/>
    <mergeCell ref="B206:J206"/>
    <mergeCell ref="B207:J207"/>
    <mergeCell ref="H216:J216"/>
    <mergeCell ref="A218:K218"/>
    <mergeCell ref="B219:G219"/>
    <mergeCell ref="H219:J219"/>
    <mergeCell ref="B220:G220"/>
    <mergeCell ref="H220:J220"/>
    <mergeCell ref="D214:E214"/>
    <mergeCell ref="F214:H214"/>
    <mergeCell ref="I214:J214"/>
    <mergeCell ref="D215:E215"/>
    <mergeCell ref="F215:H215"/>
    <mergeCell ref="I215:J215"/>
    <mergeCell ref="D212:E212"/>
    <mergeCell ref="F212:H212"/>
    <mergeCell ref="I212:J212"/>
    <mergeCell ref="D213:E213"/>
    <mergeCell ref="F213:H213"/>
    <mergeCell ref="I213:J213"/>
    <mergeCell ref="G229:H229"/>
    <mergeCell ref="I229:J229"/>
    <mergeCell ref="G230:H230"/>
    <mergeCell ref="I230:J230"/>
    <mergeCell ref="G231:H231"/>
    <mergeCell ref="I231:J231"/>
    <mergeCell ref="A224:K224"/>
    <mergeCell ref="G226:H226"/>
    <mergeCell ref="I226:J226"/>
    <mergeCell ref="G227:H227"/>
    <mergeCell ref="I227:J227"/>
    <mergeCell ref="G228:H228"/>
    <mergeCell ref="I228:J228"/>
    <mergeCell ref="G235:H235"/>
    <mergeCell ref="I235:J235"/>
    <mergeCell ref="G236:H236"/>
    <mergeCell ref="I236:J236"/>
    <mergeCell ref="G237:H237"/>
    <mergeCell ref="I237:J237"/>
    <mergeCell ref="G232:H232"/>
    <mergeCell ref="I232:J232"/>
    <mergeCell ref="G233:H233"/>
    <mergeCell ref="I233:J233"/>
    <mergeCell ref="G234:H234"/>
    <mergeCell ref="I234:J234"/>
    <mergeCell ref="G241:H241"/>
    <mergeCell ref="I241:J241"/>
    <mergeCell ref="G242:H242"/>
    <mergeCell ref="I242:J242"/>
    <mergeCell ref="G243:H243"/>
    <mergeCell ref="I243:J243"/>
    <mergeCell ref="G238:H238"/>
    <mergeCell ref="I238:J238"/>
    <mergeCell ref="G239:H239"/>
    <mergeCell ref="I239:J239"/>
    <mergeCell ref="G240:H240"/>
    <mergeCell ref="I240:J240"/>
    <mergeCell ref="G248:H248"/>
    <mergeCell ref="I248:J248"/>
    <mergeCell ref="G249:H249"/>
    <mergeCell ref="I249:J249"/>
    <mergeCell ref="G244:H244"/>
    <mergeCell ref="I244:J244"/>
    <mergeCell ref="G245:H245"/>
    <mergeCell ref="I245:J245"/>
    <mergeCell ref="G246:H246"/>
    <mergeCell ref="I246:J246"/>
    <mergeCell ref="A259:K259"/>
    <mergeCell ref="D260:E260"/>
    <mergeCell ref="F260:H260"/>
    <mergeCell ref="I260:J260"/>
    <mergeCell ref="D261:E261"/>
    <mergeCell ref="F261:H261"/>
    <mergeCell ref="I261:J261"/>
    <mergeCell ref="E254:I254"/>
    <mergeCell ref="G202:H202"/>
    <mergeCell ref="E202:F202"/>
    <mergeCell ref="E253:F253"/>
    <mergeCell ref="B255:J255"/>
    <mergeCell ref="B256:J256"/>
    <mergeCell ref="B257:J257"/>
    <mergeCell ref="J253:K253"/>
    <mergeCell ref="I252:J252"/>
    <mergeCell ref="G253:H253"/>
    <mergeCell ref="G250:H250"/>
    <mergeCell ref="I250:J250"/>
    <mergeCell ref="G251:H251"/>
    <mergeCell ref="I251:J251"/>
    <mergeCell ref="G252:H252"/>
    <mergeCell ref="G247:H247"/>
    <mergeCell ref="I247:J247"/>
    <mergeCell ref="D264:E264"/>
    <mergeCell ref="F264:H264"/>
    <mergeCell ref="I264:J264"/>
    <mergeCell ref="D265:E265"/>
    <mergeCell ref="F265:H265"/>
    <mergeCell ref="I265:J265"/>
    <mergeCell ref="D262:E262"/>
    <mergeCell ref="F262:H262"/>
    <mergeCell ref="I262:J262"/>
    <mergeCell ref="D263:E263"/>
    <mergeCell ref="F263:H263"/>
    <mergeCell ref="I263:J263"/>
    <mergeCell ref="B271:G271"/>
    <mergeCell ref="H271:J271"/>
    <mergeCell ref="H272:J272"/>
    <mergeCell ref="H266:J266"/>
    <mergeCell ref="A268:K268"/>
    <mergeCell ref="B269:G269"/>
    <mergeCell ref="H269:J269"/>
    <mergeCell ref="B270:G270"/>
    <mergeCell ref="H270:J270"/>
    <mergeCell ref="Y35:AB35"/>
    <mergeCell ref="S36:V36"/>
    <mergeCell ref="W36:X36"/>
    <mergeCell ref="S38:U38"/>
    <mergeCell ref="S39:AC39"/>
    <mergeCell ref="S40:AC40"/>
    <mergeCell ref="S41:AC41"/>
    <mergeCell ref="S42:AC42"/>
    <mergeCell ref="S44:AC44"/>
    <mergeCell ref="S1:AC1"/>
    <mergeCell ref="T2:AA2"/>
    <mergeCell ref="AB2:AC2"/>
    <mergeCell ref="T3:AA3"/>
    <mergeCell ref="AB3:AC3"/>
    <mergeCell ref="T4:X4"/>
    <mergeCell ref="Z4:AA4"/>
    <mergeCell ref="S6:AC6"/>
    <mergeCell ref="Y7:AB7"/>
    <mergeCell ref="AC7:AC8"/>
    <mergeCell ref="S52:T52"/>
    <mergeCell ref="S53:T53"/>
    <mergeCell ref="S54:T54"/>
    <mergeCell ref="S55:T55"/>
    <mergeCell ref="S56:T56"/>
    <mergeCell ref="W56:Y56"/>
    <mergeCell ref="Z56:AA56"/>
    <mergeCell ref="AA45:AB45"/>
    <mergeCell ref="S48:T49"/>
    <mergeCell ref="W48:Y48"/>
    <mergeCell ref="Z48:AA48"/>
    <mergeCell ref="W49:Y49"/>
    <mergeCell ref="Z49:AA49"/>
    <mergeCell ref="W50:Y50"/>
    <mergeCell ref="Z50:AA50"/>
    <mergeCell ref="S51:U51"/>
    <mergeCell ref="U48:U49"/>
    <mergeCell ref="S45:T45"/>
    <mergeCell ref="V45:X45"/>
    <mergeCell ref="Y45:Z45"/>
    <mergeCell ref="S46:T46"/>
    <mergeCell ref="S57:T58"/>
    <mergeCell ref="W58:AA58"/>
    <mergeCell ref="S59:T59"/>
    <mergeCell ref="X59:AC60"/>
    <mergeCell ref="S60:T60"/>
    <mergeCell ref="S62:AC62"/>
    <mergeCell ref="S63:AC63"/>
    <mergeCell ref="V65:Z65"/>
    <mergeCell ref="V66:Z66"/>
    <mergeCell ref="U57:U58"/>
    <mergeCell ref="V67:Z67"/>
    <mergeCell ref="V68:Z68"/>
    <mergeCell ref="V69:Z69"/>
    <mergeCell ref="V70:Z70"/>
    <mergeCell ref="V71:Z71"/>
    <mergeCell ref="V72:Z72"/>
    <mergeCell ref="V73:Z73"/>
    <mergeCell ref="V74:Z74"/>
    <mergeCell ref="V75:Z75"/>
    <mergeCell ref="V76:Z76"/>
    <mergeCell ref="V77:Z77"/>
    <mergeCell ref="V78:Z78"/>
    <mergeCell ref="V79:Z79"/>
    <mergeCell ref="V80:Z80"/>
    <mergeCell ref="V81:Z81"/>
    <mergeCell ref="V82:Z82"/>
    <mergeCell ref="V83:Z83"/>
    <mergeCell ref="V84:Z84"/>
    <mergeCell ref="V85:Z85"/>
    <mergeCell ref="V86:Z86"/>
    <mergeCell ref="V87:Z87"/>
    <mergeCell ref="V88:Z88"/>
    <mergeCell ref="V89:Z89"/>
    <mergeCell ref="V90:Z90"/>
    <mergeCell ref="V91:Z91"/>
    <mergeCell ref="V92:Z92"/>
    <mergeCell ref="V93:Z93"/>
    <mergeCell ref="V94:Z94"/>
    <mergeCell ref="V95:Z95"/>
    <mergeCell ref="V96:Z96"/>
    <mergeCell ref="V97:Z97"/>
    <mergeCell ref="V98:Z98"/>
    <mergeCell ref="V99:Z99"/>
    <mergeCell ref="V100:Z100"/>
    <mergeCell ref="V101:Z101"/>
    <mergeCell ref="V102:Z102"/>
    <mergeCell ref="V103:Z103"/>
    <mergeCell ref="V104:Z104"/>
    <mergeCell ref="V105:Z105"/>
    <mergeCell ref="S106:AB106"/>
    <mergeCell ref="S107:AB107"/>
    <mergeCell ref="S108:AB108"/>
    <mergeCell ref="S110:AC110"/>
    <mergeCell ref="V111:W111"/>
    <mergeCell ref="X111:Z111"/>
    <mergeCell ref="AA111:AB111"/>
    <mergeCell ref="V112:W112"/>
    <mergeCell ref="X112:Z112"/>
    <mergeCell ref="AA112:AB112"/>
    <mergeCell ref="V113:W113"/>
    <mergeCell ref="X113:Z113"/>
    <mergeCell ref="AA113:AB113"/>
    <mergeCell ref="V114:W114"/>
    <mergeCell ref="X114:Z114"/>
    <mergeCell ref="AA114:AB114"/>
    <mergeCell ref="V115:W115"/>
    <mergeCell ref="X115:Z115"/>
    <mergeCell ref="AA115:AB115"/>
    <mergeCell ref="V116:W116"/>
    <mergeCell ref="X116:Z116"/>
    <mergeCell ref="AA116:AB116"/>
    <mergeCell ref="Z117:AB117"/>
    <mergeCell ref="S119:AC119"/>
    <mergeCell ref="T120:Y120"/>
    <mergeCell ref="Z120:AB120"/>
    <mergeCell ref="T121:Y121"/>
    <mergeCell ref="Z121:AB121"/>
    <mergeCell ref="T122:Y122"/>
    <mergeCell ref="Z122:AB122"/>
    <mergeCell ref="Z123:AB123"/>
    <mergeCell ref="S125:AC125"/>
    <mergeCell ref="Y127:Z127"/>
    <mergeCell ref="AA127:AB127"/>
    <mergeCell ref="Y128:Z128"/>
    <mergeCell ref="AA128:AB128"/>
    <mergeCell ref="Y129:Z129"/>
    <mergeCell ref="AA129:AB129"/>
    <mergeCell ref="Y130:Z130"/>
    <mergeCell ref="AA130:AB130"/>
    <mergeCell ref="Y131:Z131"/>
    <mergeCell ref="AA131:AB131"/>
    <mergeCell ref="Y132:Z132"/>
    <mergeCell ref="AA132:AB132"/>
    <mergeCell ref="Y133:Z133"/>
    <mergeCell ref="AA133:AB133"/>
    <mergeCell ref="Y134:Z134"/>
    <mergeCell ref="AA134:AB134"/>
    <mergeCell ref="Y135:Z135"/>
    <mergeCell ref="AA135:AB135"/>
    <mergeCell ref="Y136:Z136"/>
    <mergeCell ref="AA136:AB136"/>
    <mergeCell ref="Y137:Z137"/>
    <mergeCell ref="AA137:AB137"/>
    <mergeCell ref="Y138:Z138"/>
    <mergeCell ref="AA138:AB138"/>
    <mergeCell ref="Y139:Z139"/>
    <mergeCell ref="AA139:AB139"/>
    <mergeCell ref="Y140:Z140"/>
    <mergeCell ref="AA140:AB140"/>
    <mergeCell ref="Y141:Z141"/>
    <mergeCell ref="AA141:AB141"/>
    <mergeCell ref="Y142:Z142"/>
    <mergeCell ref="AA142:AB142"/>
    <mergeCell ref="Y143:Z143"/>
    <mergeCell ref="AA143:AB143"/>
    <mergeCell ref="Y144:Z144"/>
    <mergeCell ref="AA144:AB144"/>
    <mergeCell ref="Y145:Z145"/>
    <mergeCell ref="AA145:AB145"/>
    <mergeCell ref="Y146:Z146"/>
    <mergeCell ref="AA146:AB146"/>
    <mergeCell ref="Y147:Z147"/>
    <mergeCell ref="AA147:AB147"/>
    <mergeCell ref="Y148:Z148"/>
    <mergeCell ref="AA148:AB148"/>
    <mergeCell ref="Y149:Z149"/>
    <mergeCell ref="AA149:AB149"/>
    <mergeCell ref="Y150:Z150"/>
    <mergeCell ref="AA150:AB150"/>
    <mergeCell ref="Y151:Z151"/>
    <mergeCell ref="AA151:AB151"/>
    <mergeCell ref="Y152:Z152"/>
    <mergeCell ref="AA152:AB152"/>
    <mergeCell ref="Y153:Z153"/>
    <mergeCell ref="AA153:AB153"/>
    <mergeCell ref="T154:AB154"/>
    <mergeCell ref="T155:AB155"/>
    <mergeCell ref="T156:AB156"/>
    <mergeCell ref="S158:AC158"/>
    <mergeCell ref="V159:W159"/>
    <mergeCell ref="X159:Z159"/>
    <mergeCell ref="AA159:AB159"/>
    <mergeCell ref="V160:W160"/>
    <mergeCell ref="X160:Z160"/>
    <mergeCell ref="AA160:AB160"/>
    <mergeCell ref="V161:W161"/>
    <mergeCell ref="X161:Z161"/>
    <mergeCell ref="AA161:AB161"/>
    <mergeCell ref="V162:W162"/>
    <mergeCell ref="X162:Z162"/>
    <mergeCell ref="AA162:AB162"/>
    <mergeCell ref="V163:W163"/>
    <mergeCell ref="X163:Z163"/>
    <mergeCell ref="AA163:AB163"/>
    <mergeCell ref="V164:W164"/>
    <mergeCell ref="X164:Z164"/>
    <mergeCell ref="AA164:AB164"/>
    <mergeCell ref="Z165:AB165"/>
    <mergeCell ref="S167:AC167"/>
    <mergeCell ref="T168:Y168"/>
    <mergeCell ref="Z168:AB168"/>
    <mergeCell ref="T169:Y169"/>
    <mergeCell ref="Z169:AB169"/>
    <mergeCell ref="T170:Y170"/>
    <mergeCell ref="Z170:AB170"/>
    <mergeCell ref="Z171:AB171"/>
    <mergeCell ref="S173:AC173"/>
    <mergeCell ref="Y175:Z175"/>
    <mergeCell ref="AA175:AB175"/>
    <mergeCell ref="Y176:Z176"/>
    <mergeCell ref="AA176:AB176"/>
    <mergeCell ref="Y177:Z177"/>
    <mergeCell ref="AA177:AB177"/>
    <mergeCell ref="Y178:Z178"/>
    <mergeCell ref="AA178:AB178"/>
    <mergeCell ref="Y179:Z179"/>
    <mergeCell ref="AA179:AB179"/>
    <mergeCell ref="Y180:Z180"/>
    <mergeCell ref="AA180:AB180"/>
    <mergeCell ref="Y181:Z181"/>
    <mergeCell ref="AA181:AB181"/>
    <mergeCell ref="Y182:Z182"/>
    <mergeCell ref="AA182:AB182"/>
    <mergeCell ref="Y183:Z183"/>
    <mergeCell ref="AA183:AB183"/>
    <mergeCell ref="Y184:Z184"/>
    <mergeCell ref="AA184:AB184"/>
    <mergeCell ref="Y185:Z185"/>
    <mergeCell ref="AA185:AB185"/>
    <mergeCell ref="Y186:Z186"/>
    <mergeCell ref="AA186:AB186"/>
    <mergeCell ref="Y187:Z187"/>
    <mergeCell ref="AA187:AB187"/>
    <mergeCell ref="Y188:Z188"/>
    <mergeCell ref="AA188:AB188"/>
    <mergeCell ref="Y189:Z189"/>
    <mergeCell ref="AA189:AB189"/>
    <mergeCell ref="Y190:Z190"/>
    <mergeCell ref="AA190:AB190"/>
    <mergeCell ref="Y191:Z191"/>
    <mergeCell ref="AA191:AB191"/>
    <mergeCell ref="Y192:Z192"/>
    <mergeCell ref="AA192:AB192"/>
    <mergeCell ref="Y193:Z193"/>
    <mergeCell ref="AA193:AB193"/>
    <mergeCell ref="Y194:Z194"/>
    <mergeCell ref="AA194:AB194"/>
    <mergeCell ref="Y195:Z195"/>
    <mergeCell ref="AA195:AB195"/>
    <mergeCell ref="Y196:Z196"/>
    <mergeCell ref="AA196:AB196"/>
    <mergeCell ref="Y197:Z197"/>
    <mergeCell ref="AA197:AB197"/>
    <mergeCell ref="Y198:Z198"/>
    <mergeCell ref="AA198:AB198"/>
    <mergeCell ref="Y199:Z199"/>
    <mergeCell ref="AA199:AB199"/>
    <mergeCell ref="Y200:Z200"/>
    <mergeCell ref="AA200:AB200"/>
    <mergeCell ref="Y201:Z201"/>
    <mergeCell ref="AA201:AB201"/>
    <mergeCell ref="W202:X202"/>
    <mergeCell ref="Y202:Z202"/>
    <mergeCell ref="W203:Z203"/>
    <mergeCell ref="AA203:AB203"/>
    <mergeCell ref="W204:AA204"/>
    <mergeCell ref="T205:AB205"/>
    <mergeCell ref="T206:AB206"/>
    <mergeCell ref="T207:AB207"/>
    <mergeCell ref="S209:AC209"/>
    <mergeCell ref="V210:W210"/>
    <mergeCell ref="X210:Z210"/>
    <mergeCell ref="AA210:AB210"/>
    <mergeCell ref="V211:W211"/>
    <mergeCell ref="X211:Z211"/>
    <mergeCell ref="AA211:AB211"/>
    <mergeCell ref="V212:W212"/>
    <mergeCell ref="X212:Z212"/>
    <mergeCell ref="AA212:AB212"/>
    <mergeCell ref="V213:W213"/>
    <mergeCell ref="X213:Z213"/>
    <mergeCell ref="AA213:AB213"/>
    <mergeCell ref="V214:W214"/>
    <mergeCell ref="X214:Z214"/>
    <mergeCell ref="AA214:AB214"/>
    <mergeCell ref="V215:W215"/>
    <mergeCell ref="X215:Z215"/>
    <mergeCell ref="AA215:AB215"/>
    <mergeCell ref="Z216:AB216"/>
    <mergeCell ref="S218:AC218"/>
    <mergeCell ref="T219:Y219"/>
    <mergeCell ref="Z219:AB219"/>
    <mergeCell ref="T220:Y220"/>
    <mergeCell ref="Z220:AB220"/>
    <mergeCell ref="T221:Y221"/>
    <mergeCell ref="Z221:AB221"/>
    <mergeCell ref="Z222:AB222"/>
    <mergeCell ref="S224:AC224"/>
    <mergeCell ref="Y226:Z226"/>
    <mergeCell ref="AA226:AB226"/>
    <mergeCell ref="Y227:Z227"/>
    <mergeCell ref="AA227:AB227"/>
    <mergeCell ref="Y228:Z228"/>
    <mergeCell ref="AA228:AB228"/>
    <mergeCell ref="Y229:Z229"/>
    <mergeCell ref="AA229:AB229"/>
    <mergeCell ref="Y230:Z230"/>
    <mergeCell ref="AA230:AB230"/>
    <mergeCell ref="Y231:Z231"/>
    <mergeCell ref="AA231:AB231"/>
    <mergeCell ref="Y232:Z232"/>
    <mergeCell ref="AA232:AB232"/>
    <mergeCell ref="Y233:Z233"/>
    <mergeCell ref="AA233:AB233"/>
    <mergeCell ref="Y234:Z234"/>
    <mergeCell ref="AA234:AB234"/>
    <mergeCell ref="Y235:Z235"/>
    <mergeCell ref="AA235:AB235"/>
    <mergeCell ref="Y236:Z236"/>
    <mergeCell ref="AA236:AB236"/>
    <mergeCell ref="Y237:Z237"/>
    <mergeCell ref="AA237:AB237"/>
    <mergeCell ref="Y238:Z238"/>
    <mergeCell ref="AA238:AB238"/>
    <mergeCell ref="Y239:Z239"/>
    <mergeCell ref="AA239:AB239"/>
    <mergeCell ref="Y240:Z240"/>
    <mergeCell ref="AA240:AB240"/>
    <mergeCell ref="Y241:Z241"/>
    <mergeCell ref="AA241:AB241"/>
    <mergeCell ref="Y242:Z242"/>
    <mergeCell ref="AA242:AB242"/>
    <mergeCell ref="Y243:Z243"/>
    <mergeCell ref="AA243:AB243"/>
    <mergeCell ref="Y244:Z244"/>
    <mergeCell ref="AA244:AB244"/>
    <mergeCell ref="Y245:Z245"/>
    <mergeCell ref="AA245:AB245"/>
    <mergeCell ref="Y246:Z246"/>
    <mergeCell ref="AA246:AB246"/>
    <mergeCell ref="Y247:Z247"/>
    <mergeCell ref="AA247:AB247"/>
    <mergeCell ref="Y248:Z248"/>
    <mergeCell ref="AA248:AB248"/>
    <mergeCell ref="Y249:Z249"/>
    <mergeCell ref="AA249:AB249"/>
    <mergeCell ref="Y250:Z250"/>
    <mergeCell ref="AA250:AB250"/>
    <mergeCell ref="Y251:Z251"/>
    <mergeCell ref="AA251:AB251"/>
    <mergeCell ref="Y252:Z252"/>
    <mergeCell ref="AA252:AB252"/>
    <mergeCell ref="W253:X253"/>
    <mergeCell ref="Y253:Z253"/>
    <mergeCell ref="AB253:AC253"/>
    <mergeCell ref="W254:AA254"/>
    <mergeCell ref="T255:AB255"/>
    <mergeCell ref="T256:AB256"/>
    <mergeCell ref="T257:AB257"/>
    <mergeCell ref="S259:AC259"/>
    <mergeCell ref="V260:W260"/>
    <mergeCell ref="X260:Z260"/>
    <mergeCell ref="AA260:AB260"/>
    <mergeCell ref="V261:W261"/>
    <mergeCell ref="X261:Z261"/>
    <mergeCell ref="AA261:AB261"/>
    <mergeCell ref="V262:W262"/>
    <mergeCell ref="X262:Z262"/>
    <mergeCell ref="AA262:AB262"/>
    <mergeCell ref="V263:W263"/>
    <mergeCell ref="X263:Z263"/>
    <mergeCell ref="AA263:AB263"/>
    <mergeCell ref="T270:Y270"/>
    <mergeCell ref="Z270:AB270"/>
    <mergeCell ref="T271:Y271"/>
    <mergeCell ref="Z271:AB271"/>
    <mergeCell ref="Z272:AB272"/>
    <mergeCell ref="V264:W264"/>
    <mergeCell ref="X264:Z264"/>
    <mergeCell ref="AA264:AB264"/>
    <mergeCell ref="V265:W265"/>
    <mergeCell ref="X265:Z265"/>
    <mergeCell ref="AA265:AB265"/>
    <mergeCell ref="Z266:AB266"/>
    <mergeCell ref="S268:AC268"/>
    <mergeCell ref="T269:Y269"/>
    <mergeCell ref="Z269:AB269"/>
  </mergeCells>
  <conditionalFormatting sqref="K204">
    <cfRule type="containsText" dxfId="7" priority="11" operator="containsText" text="STOP">
      <formula>NOT(ISERROR(SEARCH("STOP",K204)))</formula>
    </cfRule>
  </conditionalFormatting>
  <conditionalFormatting sqref="K254">
    <cfRule type="containsText" dxfId="6" priority="10" operator="containsText" text="STOP">
      <formula>NOT(ISERROR(SEARCH("STOP",K254)))</formula>
    </cfRule>
  </conditionalFormatting>
  <conditionalFormatting sqref="AC204">
    <cfRule type="containsText" dxfId="5" priority="2" operator="containsText" text="STOP">
      <formula>NOT(ISERROR(SEARCH("STOP",AC204)))</formula>
    </cfRule>
  </conditionalFormatting>
  <conditionalFormatting sqref="AC254">
    <cfRule type="containsText" dxfId="4" priority="8" operator="containsText" text="STOP">
      <formula>NOT(ISERROR(SEARCH("STOP",AC254)))</formula>
    </cfRule>
  </conditionalFormatting>
  <dataValidations count="6">
    <dataValidation type="list" allowBlank="1" showInputMessage="1" showErrorMessage="1" sqref="D10:D34 V10:V34" xr:uid="{971E7E5B-EB5E-41B2-860A-C285AB97FCF6}">
      <formula1>"0,1,2,3,4"</formula1>
    </dataValidation>
    <dataValidation type="whole" allowBlank="1" showInputMessage="1" showErrorMessage="1" sqref="B9:B34 T9:T34" xr:uid="{36134561-30F3-4A61-819F-33FE5FAEE08B}">
      <formula1>1</formula1>
      <formula2>1000</formula2>
    </dataValidation>
    <dataValidation type="list" allowBlank="1" showInputMessage="1" showErrorMessage="1" sqref="I53:I54 G9:J34 AA53:AA54 Y9:AB34" xr:uid="{035AAD19-F5EA-4949-BAF6-30F3AC4815BC}">
      <formula1>"No,Yes"</formula1>
    </dataValidation>
    <dataValidation type="list" allowBlank="1" showInputMessage="1" showErrorMessage="1" sqref="U45" xr:uid="{F1E8C325-5318-45B7-9E43-3B2043526EE3}">
      <formula1>"Unit Designations, Cost of Units"</formula1>
    </dataValidation>
    <dataValidation type="list" allowBlank="1" showInputMessage="1" showErrorMessage="1" sqref="G45:H45" xr:uid="{C48C286C-A74E-4139-9D7F-FD4F064D616B}">
      <formula1>"HOME Investment, Unit Designations"</formula1>
    </dataValidation>
    <dataValidation type="list" allowBlank="1" showInputMessage="1" showErrorMessage="1" sqref="Y45:Z45" xr:uid="{07100FA9-7EBC-4296-B64A-DBABC1A21D84}">
      <formula1>"HTF Investment, Unit Designations"</formula1>
    </dataValidation>
  </dataValidations>
  <hyperlinks>
    <hyperlink ref="S59:T59" r:id="rId1" display="Other Ineligible Costs:" xr:uid="{14C87D77-D7BA-4370-8299-65E0C893ADB8}"/>
    <hyperlink ref="A59:B59" r:id="rId2" display="Other Ineligible Costs:" xr:uid="{3EFB3608-DC18-4F7E-9D7C-0800B0FC3017}"/>
  </hyperlinks>
  <pageMargins left="0.7" right="0.7" top="0.75" bottom="0.75" header="0.3" footer="0.3"/>
  <pageSetup scale="63" fitToHeight="4" orientation="portrait" horizontalDpi="1200" r:id="rId3"/>
  <rowBreaks count="8" manualBreakCount="8">
    <brk id="61" max="10" man="1"/>
    <brk id="61" min="18" max="28" man="1"/>
    <brk id="124" max="10" man="1"/>
    <brk id="124" min="18" max="28" man="1"/>
    <brk id="172" max="10" man="1"/>
    <brk id="172" min="18" max="28" man="1"/>
    <brk id="223" max="10" man="1"/>
    <brk id="223" min="18" max="28" man="1"/>
  </rowBreaks>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520C1C77-305C-4252-A34E-4973A8FE6911}">
          <x14:formula1>
            <xm:f>'Project Summary'!$M$148:$M$150</xm:f>
          </x14:formula1>
          <xm:sqref>C46 U46</xm:sqref>
        </x14:dataValidation>
        <x14:dataValidation type="list" allowBlank="1" showInputMessage="1" showErrorMessage="1" xr:uid="{1C044637-9DDE-4272-B542-CF9D9B28238D}">
          <x14:formula1>
            <xm:f>'Project Summary'!$R$131:$R$135</xm:f>
          </x14:formula1>
          <xm:sqref>D9 V9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52BFA-66AD-4F69-99F6-453F62070742}">
  <dimension ref="A1:AH142"/>
  <sheetViews>
    <sheetView topLeftCell="A24" zoomScale="85" zoomScaleNormal="85" zoomScaleSheetLayoutView="85" workbookViewId="0">
      <selection activeCell="F7" sqref="F7:G7"/>
    </sheetView>
  </sheetViews>
  <sheetFormatPr defaultRowHeight="15" x14ac:dyDescent="0.25"/>
  <cols>
    <col min="1" max="1" width="3.140625" bestFit="1" customWidth="1"/>
    <col min="2" max="2" width="10.7109375" customWidth="1"/>
    <col min="4" max="4" width="9.5703125" bestFit="1" customWidth="1"/>
    <col min="5" max="5" width="2.7109375" customWidth="1"/>
    <col min="6" max="7" width="10.7109375" customWidth="1"/>
    <col min="8" max="8" width="2.7109375" customWidth="1"/>
    <col min="9" max="10" width="9.7109375" customWidth="1"/>
    <col min="11" max="11" width="2.7109375" customWidth="1"/>
    <col min="12" max="13" width="9.7109375" customWidth="1"/>
    <col min="14" max="14" width="42.7109375" customWidth="1"/>
    <col min="15" max="15" width="12.7109375" customWidth="1"/>
    <col min="16" max="16" width="18.28515625" customWidth="1"/>
    <col min="17" max="17" width="16.7109375" bestFit="1" customWidth="1"/>
    <col min="18" max="18" width="11.7109375" customWidth="1"/>
    <col min="19" max="19" width="49.42578125" customWidth="1"/>
    <col min="20" max="20" width="9.140625" customWidth="1"/>
    <col min="21" max="29" width="12.85546875" customWidth="1"/>
  </cols>
  <sheetData>
    <row r="1" spans="1:13" ht="18.75" x14ac:dyDescent="0.3">
      <c r="A1" s="1140" t="s">
        <v>883</v>
      </c>
      <c r="B1" s="1140"/>
      <c r="C1" s="1140"/>
      <c r="D1" s="1140"/>
      <c r="E1" s="1140"/>
      <c r="F1" s="1140"/>
      <c r="G1" s="1140"/>
      <c r="H1" s="1140"/>
      <c r="I1" s="1140"/>
      <c r="J1" s="1140"/>
      <c r="K1" s="1140"/>
      <c r="L1" s="1140"/>
      <c r="M1" s="1140"/>
    </row>
    <row r="2" spans="1:13" x14ac:dyDescent="0.25">
      <c r="A2" s="789" t="s">
        <v>13</v>
      </c>
      <c r="B2" s="790"/>
      <c r="C2" s="1137" t="str">
        <f>IF('Project Summary'!$C$8="","",'Project Summary'!$C$8)</f>
        <v/>
      </c>
      <c r="D2" s="1137"/>
      <c r="E2" s="1137"/>
      <c r="F2" s="1137"/>
      <c r="G2" s="1137"/>
      <c r="H2" s="1137"/>
      <c r="I2" s="1137"/>
      <c r="J2" s="1137"/>
      <c r="K2" s="1138"/>
      <c r="L2" s="1101" t="s">
        <v>11</v>
      </c>
      <c r="M2" s="1101"/>
    </row>
    <row r="3" spans="1:13" x14ac:dyDescent="0.25">
      <c r="A3" s="789" t="s">
        <v>790</v>
      </c>
      <c r="B3" s="790"/>
      <c r="C3" s="1137" t="str">
        <f>IF('Project Summary'!$C$11="","",'Project Summary'!$C$11)</f>
        <v/>
      </c>
      <c r="D3" s="1137"/>
      <c r="E3" s="1137"/>
      <c r="F3" s="1137"/>
      <c r="G3" s="1137"/>
      <c r="H3" s="1137"/>
      <c r="I3" s="1137"/>
      <c r="J3" s="1137"/>
      <c r="K3" s="1138"/>
      <c r="L3" s="1139" t="str">
        <f>IF('Project Summary'!$C$5&lt;1,"",'Project Summary'!$C$5)</f>
        <v/>
      </c>
      <c r="M3" s="1139"/>
    </row>
    <row r="4" spans="1:13" x14ac:dyDescent="0.25">
      <c r="A4" s="1173" t="s">
        <v>483</v>
      </c>
      <c r="B4" s="1174"/>
      <c r="C4" s="1176" t="str">
        <f>IF('Project Summary'!$C$12="","",'Project Summary'!$C$12)</f>
        <v/>
      </c>
      <c r="D4" s="1176"/>
      <c r="E4" s="1176"/>
      <c r="F4" s="1176"/>
      <c r="G4" s="1177"/>
      <c r="H4" s="789" t="s">
        <v>484</v>
      </c>
      <c r="I4" s="790"/>
      <c r="J4" s="974" t="str">
        <f>'Project Summary'!$I$12</f>
        <v>ND</v>
      </c>
      <c r="K4" s="975"/>
      <c r="L4" s="253" t="s">
        <v>482</v>
      </c>
      <c r="M4" s="488" t="str">
        <f>IF('Project Summary'!$K$12="","",'Project Summary'!$K$12)</f>
        <v/>
      </c>
    </row>
    <row r="6" spans="1:13" x14ac:dyDescent="0.25">
      <c r="A6" s="1171" t="s">
        <v>25</v>
      </c>
      <c r="B6" s="1175"/>
      <c r="C6" s="1175"/>
      <c r="D6" s="1172"/>
      <c r="F6" s="1171" t="s">
        <v>897</v>
      </c>
      <c r="G6" s="1172"/>
      <c r="I6" s="1171" t="s">
        <v>937</v>
      </c>
      <c r="J6" s="1172"/>
      <c r="L6" s="1171" t="s">
        <v>938</v>
      </c>
      <c r="M6" s="1172"/>
    </row>
    <row r="7" spans="1:13" x14ac:dyDescent="0.25">
      <c r="A7" s="1167" t="str">
        <f>IF(OR('Project Summary'!$C$44="No",'Project Summary'!$C$44="",'Project Summary'!$C$45=""),"",'Project Summary'!$C$45)</f>
        <v/>
      </c>
      <c r="B7" s="893"/>
      <c r="C7" s="893"/>
      <c r="D7" s="1168"/>
      <c r="F7" s="1169"/>
      <c r="G7" s="1170"/>
      <c r="I7" s="1169"/>
      <c r="J7" s="1170"/>
      <c r="L7" s="1169"/>
      <c r="M7" s="1170"/>
    </row>
    <row r="8" spans="1:13" ht="5.0999999999999996" customHeight="1" x14ac:dyDescent="0.25"/>
    <row r="9" spans="1:13" x14ac:dyDescent="0.25">
      <c r="I9" s="1171" t="s">
        <v>492</v>
      </c>
      <c r="J9" s="1172"/>
      <c r="K9" s="490"/>
      <c r="L9" s="1171" t="s">
        <v>884</v>
      </c>
      <c r="M9" s="1172"/>
    </row>
    <row r="10" spans="1:13" x14ac:dyDescent="0.25">
      <c r="I10" s="1167" t="str">
        <f>IF(OR('Project Summary'!$C$44="No",'Project Summary'!$C$44=""),"",'Project Summary'!$J$58)</f>
        <v/>
      </c>
      <c r="J10" s="1168"/>
      <c r="K10" s="491"/>
      <c r="L10" s="1167" t="str">
        <f>IF(OR('Project Summary'!$C$44="No",'Project Summary'!$C$44=""),"",'Project Summary'!$C$58)</f>
        <v/>
      </c>
      <c r="M10" s="1168"/>
    </row>
    <row r="11" spans="1:13" ht="5.0999999999999996" customHeight="1" x14ac:dyDescent="0.25">
      <c r="C11" s="319"/>
      <c r="D11" s="319"/>
      <c r="F11" s="319"/>
      <c r="G11" s="319"/>
    </row>
    <row r="12" spans="1:13" ht="18.75" x14ac:dyDescent="0.3">
      <c r="A12" s="805" t="s">
        <v>901</v>
      </c>
      <c r="B12" s="805"/>
      <c r="C12" s="805"/>
      <c r="D12" s="805"/>
      <c r="E12" s="805"/>
      <c r="F12" s="805"/>
      <c r="G12" s="805"/>
      <c r="H12" s="805"/>
      <c r="I12" s="805"/>
      <c r="J12" s="805"/>
      <c r="K12" s="805"/>
      <c r="L12" s="805"/>
      <c r="M12" s="805"/>
    </row>
    <row r="13" spans="1:13" x14ac:dyDescent="0.25">
      <c r="I13" s="648" t="s">
        <v>895</v>
      </c>
      <c r="J13" s="648"/>
      <c r="L13" s="648" t="s">
        <v>896</v>
      </c>
      <c r="M13" s="648"/>
    </row>
    <row r="14" spans="1:13" x14ac:dyDescent="0.25">
      <c r="A14" s="1162" t="s">
        <v>885</v>
      </c>
      <c r="B14" s="1163"/>
      <c r="C14" s="1163"/>
      <c r="D14" s="1163"/>
      <c r="E14" s="1163"/>
      <c r="F14" s="1163"/>
      <c r="G14" s="1163"/>
      <c r="H14" s="1163"/>
      <c r="I14" s="1160"/>
      <c r="J14" s="1161"/>
      <c r="L14" s="1160"/>
      <c r="M14" s="1161"/>
    </row>
    <row r="15" spans="1:13" ht="5.0999999999999996" customHeight="1" x14ac:dyDescent="0.25"/>
    <row r="16" spans="1:13" x14ac:dyDescent="0.25">
      <c r="A16" s="1162" t="s">
        <v>886</v>
      </c>
      <c r="B16" s="1163"/>
      <c r="C16" s="1163"/>
      <c r="D16" s="1163"/>
      <c r="E16" s="1163"/>
      <c r="F16" s="1163"/>
      <c r="G16" s="1163"/>
      <c r="H16" s="1163"/>
      <c r="I16" s="1160"/>
      <c r="J16" s="1161"/>
      <c r="L16" s="237"/>
      <c r="M16" s="237"/>
    </row>
    <row r="17" spans="1:13" ht="5.0999999999999996" customHeight="1" x14ac:dyDescent="0.25"/>
    <row r="18" spans="1:13" ht="30" customHeight="1" x14ac:dyDescent="0.25">
      <c r="A18" s="1165" t="s">
        <v>900</v>
      </c>
      <c r="B18" s="1166"/>
      <c r="C18" s="1166"/>
      <c r="D18" s="1166"/>
      <c r="E18" s="1166"/>
      <c r="F18" s="1166"/>
      <c r="G18" s="1166"/>
      <c r="H18" s="1166"/>
      <c r="I18" s="1160"/>
      <c r="J18" s="1161"/>
      <c r="L18" s="1160"/>
      <c r="M18" s="1161"/>
    </row>
    <row r="19" spans="1:13" ht="5.0999999999999996" customHeight="1" x14ac:dyDescent="0.25"/>
    <row r="20" spans="1:13" x14ac:dyDescent="0.25">
      <c r="A20" s="1185" t="s">
        <v>887</v>
      </c>
      <c r="B20" s="1186"/>
      <c r="C20" s="1186"/>
      <c r="D20" s="1186"/>
      <c r="E20" s="1186"/>
      <c r="F20" s="1186"/>
      <c r="G20" s="1186"/>
      <c r="H20" s="1187"/>
      <c r="I20" s="1160"/>
      <c r="J20" s="1161"/>
      <c r="L20" s="1160"/>
      <c r="M20" s="1161"/>
    </row>
    <row r="21" spans="1:13" x14ac:dyDescent="0.25">
      <c r="A21" s="1181" t="s">
        <v>888</v>
      </c>
      <c r="B21" s="1182"/>
      <c r="C21" s="1182"/>
      <c r="D21" s="1182"/>
      <c r="E21" s="1182"/>
      <c r="F21" s="1182"/>
      <c r="G21" s="1182"/>
      <c r="H21" s="1182"/>
      <c r="I21" s="1184"/>
      <c r="J21" s="494"/>
      <c r="L21" s="492"/>
      <c r="M21" s="494"/>
    </row>
    <row r="22" spans="1:13" x14ac:dyDescent="0.25">
      <c r="A22" s="1178" t="s">
        <v>889</v>
      </c>
      <c r="B22" s="1179"/>
      <c r="C22" s="1179"/>
      <c r="D22" s="1179"/>
      <c r="E22" s="1179"/>
      <c r="F22" s="1179"/>
      <c r="G22" s="1179"/>
      <c r="H22" s="1179"/>
      <c r="I22" s="1180"/>
      <c r="J22" s="494"/>
      <c r="L22" s="493"/>
      <c r="M22" s="494"/>
    </row>
    <row r="23" spans="1:13" ht="5.0999999999999996" customHeight="1" x14ac:dyDescent="0.25"/>
    <row r="24" spans="1:13" x14ac:dyDescent="0.25">
      <c r="A24" s="1185" t="s">
        <v>890</v>
      </c>
      <c r="B24" s="1186"/>
      <c r="C24" s="1186"/>
      <c r="D24" s="1186"/>
      <c r="E24" s="1186"/>
      <c r="F24" s="1186"/>
      <c r="G24" s="1186"/>
      <c r="H24" s="1187"/>
      <c r="I24" s="1160"/>
      <c r="J24" s="1161"/>
      <c r="L24" s="1160"/>
      <c r="M24" s="1161"/>
    </row>
    <row r="25" spans="1:13" x14ac:dyDescent="0.25">
      <c r="A25" s="1181" t="s">
        <v>888</v>
      </c>
      <c r="B25" s="1182"/>
      <c r="C25" s="1182"/>
      <c r="D25" s="1182"/>
      <c r="E25" s="1182"/>
      <c r="F25" s="1182"/>
      <c r="G25" s="1182"/>
      <c r="H25" s="1182"/>
      <c r="I25" s="1183"/>
      <c r="J25" s="494"/>
      <c r="L25" s="492"/>
      <c r="M25" s="494"/>
    </row>
    <row r="26" spans="1:13" x14ac:dyDescent="0.25">
      <c r="A26" s="1178" t="s">
        <v>889</v>
      </c>
      <c r="B26" s="1179"/>
      <c r="C26" s="1179"/>
      <c r="D26" s="1179"/>
      <c r="E26" s="1179"/>
      <c r="F26" s="1179"/>
      <c r="G26" s="1179"/>
      <c r="H26" s="1179"/>
      <c r="I26" s="1180"/>
      <c r="J26" s="494"/>
      <c r="L26" s="493"/>
      <c r="M26" s="494"/>
    </row>
    <row r="27" spans="1:13" ht="5.0999999999999996" customHeight="1" x14ac:dyDescent="0.25"/>
    <row r="28" spans="1:13" x14ac:dyDescent="0.25">
      <c r="A28" s="1162" t="s">
        <v>891</v>
      </c>
      <c r="B28" s="1163"/>
      <c r="C28" s="1163"/>
      <c r="D28" s="1163"/>
      <c r="E28" s="1163"/>
      <c r="F28" s="1163"/>
      <c r="G28" s="1163"/>
      <c r="H28" s="1163"/>
      <c r="I28" s="1160"/>
      <c r="J28" s="1161"/>
      <c r="L28" s="1160"/>
      <c r="M28" s="1161"/>
    </row>
    <row r="29" spans="1:13" ht="5.0999999999999996" customHeight="1" x14ac:dyDescent="0.25"/>
    <row r="30" spans="1:13" x14ac:dyDescent="0.25">
      <c r="A30" s="1162" t="s">
        <v>892</v>
      </c>
      <c r="B30" s="1163"/>
      <c r="C30" s="1163"/>
      <c r="D30" s="1163"/>
      <c r="E30" s="1163"/>
      <c r="F30" s="1163"/>
      <c r="G30" s="1163"/>
      <c r="H30" s="1163"/>
      <c r="I30" s="1160"/>
      <c r="J30" s="1161"/>
      <c r="L30" s="1160"/>
      <c r="M30" s="1161"/>
    </row>
    <row r="31" spans="1:13" ht="5.0999999999999996" customHeight="1" x14ac:dyDescent="0.25"/>
    <row r="32" spans="1:13" x14ac:dyDescent="0.25">
      <c r="A32" s="1162" t="s">
        <v>893</v>
      </c>
      <c r="B32" s="1163"/>
      <c r="C32" s="1163"/>
      <c r="D32" s="1163"/>
      <c r="E32" s="1163"/>
      <c r="F32" s="1163"/>
      <c r="G32" s="1163"/>
      <c r="H32" s="1163"/>
      <c r="I32" s="1160"/>
      <c r="J32" s="1161"/>
      <c r="L32" s="1160"/>
      <c r="M32" s="1161"/>
    </row>
    <row r="33" spans="1:34" ht="5.0999999999999996" customHeight="1" x14ac:dyDescent="0.25"/>
    <row r="34" spans="1:34" x14ac:dyDescent="0.25">
      <c r="A34" s="1162" t="s">
        <v>894</v>
      </c>
      <c r="B34" s="1163"/>
      <c r="C34" s="1163"/>
      <c r="D34" s="1163"/>
      <c r="E34" s="1163"/>
      <c r="F34" s="1163"/>
      <c r="G34" s="1163"/>
      <c r="H34" s="1163"/>
      <c r="I34" s="1160"/>
      <c r="J34" s="1161"/>
      <c r="L34" s="1160"/>
      <c r="M34" s="1161"/>
    </row>
    <row r="35" spans="1:34" x14ac:dyDescent="0.25">
      <c r="A35" s="646"/>
      <c r="B35" s="646"/>
      <c r="C35" s="646"/>
      <c r="D35" s="646"/>
      <c r="E35" s="646"/>
      <c r="F35" s="646"/>
      <c r="G35" s="646"/>
      <c r="H35" s="646"/>
      <c r="I35" s="646"/>
      <c r="J35" s="646"/>
      <c r="K35" s="646"/>
      <c r="L35" s="646"/>
      <c r="M35" s="646"/>
      <c r="N35" s="646"/>
      <c r="O35" s="646"/>
      <c r="P35" s="646"/>
      <c r="Q35" s="646"/>
      <c r="R35" s="646"/>
      <c r="S35" s="646"/>
    </row>
    <row r="36" spans="1:34" ht="18.75" customHeight="1" x14ac:dyDescent="0.3">
      <c r="A36" s="805" t="s">
        <v>939</v>
      </c>
      <c r="B36" s="805"/>
      <c r="C36" s="805"/>
      <c r="D36" s="805"/>
      <c r="E36" s="805"/>
      <c r="F36" s="805"/>
      <c r="G36" s="805"/>
      <c r="H36" s="805"/>
      <c r="I36" s="805"/>
      <c r="J36" s="805"/>
      <c r="K36" s="805"/>
      <c r="L36" s="805"/>
      <c r="M36" s="805"/>
      <c r="N36" s="805"/>
      <c r="O36" s="805"/>
      <c r="P36" s="805"/>
      <c r="Q36" s="805"/>
      <c r="R36" s="805"/>
      <c r="S36" s="805"/>
      <c r="U36" s="634" t="s">
        <v>1121</v>
      </c>
    </row>
    <row r="37" spans="1:34" ht="30" customHeight="1" x14ac:dyDescent="0.25">
      <c r="A37" s="495"/>
      <c r="B37" s="507" t="s">
        <v>38</v>
      </c>
      <c r="C37" s="507" t="s">
        <v>371</v>
      </c>
      <c r="D37" s="507" t="s">
        <v>40</v>
      </c>
      <c r="E37" s="1156" t="s">
        <v>945</v>
      </c>
      <c r="F37" s="1156"/>
      <c r="G37" s="1157" t="s">
        <v>946</v>
      </c>
      <c r="H37" s="1158"/>
      <c r="I37" s="1159"/>
      <c r="J37" s="1156" t="s">
        <v>903</v>
      </c>
      <c r="K37" s="1156"/>
      <c r="L37" s="1156"/>
      <c r="M37" s="507" t="s">
        <v>904</v>
      </c>
      <c r="N37" s="507" t="s">
        <v>905</v>
      </c>
      <c r="O37" s="507" t="s">
        <v>916</v>
      </c>
      <c r="P37" s="507" t="s">
        <v>918</v>
      </c>
      <c r="Q37" s="507" t="s">
        <v>1040</v>
      </c>
      <c r="R37" s="507" t="s">
        <v>1041</v>
      </c>
      <c r="S37" s="507" t="s">
        <v>932</v>
      </c>
      <c r="U37" s="530" t="s">
        <v>959</v>
      </c>
      <c r="V37" s="530" t="s">
        <v>960</v>
      </c>
      <c r="W37" s="147" t="s">
        <v>691</v>
      </c>
      <c r="AH37" s="147"/>
    </row>
    <row r="38" spans="1:34" ht="15" customHeight="1" x14ac:dyDescent="0.25">
      <c r="A38" s="147">
        <v>1</v>
      </c>
      <c r="B38" s="29"/>
      <c r="C38" s="29"/>
      <c r="D38" s="194" t="str" cm="1">
        <f t="array" ref="D38">IFERROR(IF(IFERROR(_xlfn.IFNA(LOOKUP(2,1/('Project SqFt'!$A$18:$A$87=B38)/('Project SqFt'!$B$18:$B$87=C38),'Project SqFt'!$D$18:$D$87),LOOKUP(2,1/('Project SqFt'!$H$18:$H$87=B38)/('Project SqFt'!$I$18:$I$87=C38),'Project SqFt'!$L$18:$L$87)),LOOKUP(2,1/('Project SqFt'!$P$18:$P$78=B38)/('Project SqFt'!$Q$18:$Q$78=C38),'Project SqFt'!$T$18:$T$87))="","",IFERROR(_xlfn.IFNA(LOOKUP(2,1/('Project SqFt'!$A$18:$A$87=B38)/('Project SqFt'!$B$18:$B$87=C38),'Project SqFt'!$D$18:$D$87),LOOKUP(2,1/('Project SqFt'!$H$18:$H$87=B38)/('Project SqFt'!$I$18:$I$87=C38),'Project SqFt'!$L$18:$L$87)),LOOKUP(2,1/('Project SqFt'!$P$18:$P$78=B38)/('Project SqFt'!$Q$18:$Q$78=C38),'Project SqFt'!$T$18:$T$87))),"")</f>
        <v/>
      </c>
      <c r="E38" s="753"/>
      <c r="F38" s="753"/>
      <c r="G38" s="860"/>
      <c r="H38" s="1164"/>
      <c r="I38" s="861"/>
      <c r="J38" s="926" t="str">
        <f t="shared" ref="J38:J77" si="0">IF($G38="","",IF($G38&lt;=$U38,$W$133,IF(AND($G38&gt;U38,$G38&lt;=$V38),$W$134,"Does Not Qualify")))</f>
        <v/>
      </c>
      <c r="K38" s="926"/>
      <c r="L38" s="926"/>
      <c r="M38" s="29"/>
      <c r="N38" s="489"/>
      <c r="O38" s="29"/>
      <c r="P38" s="489"/>
      <c r="Q38" s="29"/>
      <c r="R38" s="29"/>
      <c r="S38" s="489"/>
      <c r="T38" s="147"/>
      <c r="U38" s="147" t="str">
        <f t="shared" ref="U38:U77" si="1">_xlfn.IFNA(HLOOKUP($O38,$U$126:$AB$127,2,FALSE),"")</f>
        <v/>
      </c>
      <c r="V38" s="147" t="str">
        <f t="shared" ref="V38:V77" si="2">_xlfn.IFNA(HLOOKUP($O38,$U$123:$AB$124,2,FALSE),"")</f>
        <v/>
      </c>
      <c r="W38" s="147" t="str">
        <f t="shared" ref="W38:W77" si="3">_xlfn.IFNA(HLOOKUP($D38,$U$129:$Y$130,2,FALSE),"")</f>
        <v/>
      </c>
      <c r="AH38" s="319"/>
    </row>
    <row r="39" spans="1:34" ht="15" customHeight="1" x14ac:dyDescent="0.25">
      <c r="A39" s="147">
        <v>2</v>
      </c>
      <c r="B39" s="29"/>
      <c r="C39" s="29"/>
      <c r="D39" s="194" t="str" cm="1">
        <f t="array" ref="D39">IFERROR(IF(IFERROR(_xlfn.IFNA(LOOKUP(2,1/('Project SqFt'!$A$18:$A$87=B39)/('Project SqFt'!$B$18:$B$87=C39),'Project SqFt'!$D$18:$D$87),LOOKUP(2,1/('Project SqFt'!$H$18:$H$87=B39)/('Project SqFt'!$I$18:$I$87=C39),'Project SqFt'!$L$18:$L$87)),LOOKUP(2,1/('Project SqFt'!$P$18:$P$78=B39)/('Project SqFt'!$Q$18:$Q$78=C39),'Project SqFt'!$T$18:$T$87))="","",IFERROR(_xlfn.IFNA(LOOKUP(2,1/('Project SqFt'!$A$18:$A$87=B39)/('Project SqFt'!$B$18:$B$87=C39),'Project SqFt'!$D$18:$D$87),LOOKUP(2,1/('Project SqFt'!$H$18:$H$87=B39)/('Project SqFt'!$I$18:$I$87=C39),'Project SqFt'!$L$18:$L$87)),LOOKUP(2,1/('Project SqFt'!$P$18:$P$78=B39)/('Project SqFt'!$Q$18:$Q$78=C39),'Project SqFt'!$T$18:$T$87))),"")</f>
        <v/>
      </c>
      <c r="E39" s="753"/>
      <c r="F39" s="753"/>
      <c r="G39" s="860"/>
      <c r="H39" s="1164"/>
      <c r="I39" s="861"/>
      <c r="J39" s="926" t="str">
        <f t="shared" si="0"/>
        <v/>
      </c>
      <c r="K39" s="926"/>
      <c r="L39" s="926"/>
      <c r="M39" s="29"/>
      <c r="N39" s="489"/>
      <c r="O39" s="29"/>
      <c r="P39" s="489"/>
      <c r="Q39" s="29"/>
      <c r="R39" s="29"/>
      <c r="S39" s="489"/>
      <c r="T39" s="147"/>
      <c r="U39" s="147" t="str">
        <f t="shared" si="1"/>
        <v/>
      </c>
      <c r="V39" s="147" t="str">
        <f t="shared" si="2"/>
        <v/>
      </c>
      <c r="W39" s="147" t="str">
        <f t="shared" si="3"/>
        <v/>
      </c>
    </row>
    <row r="40" spans="1:34" ht="15" customHeight="1" x14ac:dyDescent="0.25">
      <c r="A40" s="147">
        <v>3</v>
      </c>
      <c r="B40" s="29"/>
      <c r="C40" s="29"/>
      <c r="D40" s="194" t="str" cm="1">
        <f t="array" ref="D40">IFERROR(IF(IFERROR(_xlfn.IFNA(LOOKUP(2,1/('Project SqFt'!$A$18:$A$87=B40)/('Project SqFt'!$B$18:$B$87=C40),'Project SqFt'!$D$18:$D$87),LOOKUP(2,1/('Project SqFt'!$H$18:$H$87=B40)/('Project SqFt'!$I$18:$I$87=C40),'Project SqFt'!$L$18:$L$87)),LOOKUP(2,1/('Project SqFt'!$P$18:$P$78=B40)/('Project SqFt'!$Q$18:$Q$78=C40),'Project SqFt'!$T$18:$T$87))="","",IFERROR(_xlfn.IFNA(LOOKUP(2,1/('Project SqFt'!$A$18:$A$87=B40)/('Project SqFt'!$B$18:$B$87=C40),'Project SqFt'!$D$18:$D$87),LOOKUP(2,1/('Project SqFt'!$H$18:$H$87=B40)/('Project SqFt'!$I$18:$I$87=C40),'Project SqFt'!$L$18:$L$87)),LOOKUP(2,1/('Project SqFt'!$P$18:$P$78=B40)/('Project SqFt'!$Q$18:$Q$78=C40),'Project SqFt'!$T$18:$T$87))),"")</f>
        <v/>
      </c>
      <c r="E40" s="753"/>
      <c r="F40" s="753"/>
      <c r="G40" s="860"/>
      <c r="H40" s="1164"/>
      <c r="I40" s="861"/>
      <c r="J40" s="926" t="str">
        <f t="shared" si="0"/>
        <v/>
      </c>
      <c r="K40" s="926"/>
      <c r="L40" s="926"/>
      <c r="M40" s="29"/>
      <c r="N40" s="489"/>
      <c r="O40" s="29"/>
      <c r="P40" s="489"/>
      <c r="Q40" s="29"/>
      <c r="R40" s="29"/>
      <c r="S40" s="489"/>
      <c r="T40" s="147"/>
      <c r="U40" s="147" t="str">
        <f t="shared" si="1"/>
        <v/>
      </c>
      <c r="V40" s="147" t="str">
        <f t="shared" si="2"/>
        <v/>
      </c>
      <c r="W40" s="147" t="str">
        <f t="shared" si="3"/>
        <v/>
      </c>
      <c r="AH40" s="147"/>
    </row>
    <row r="41" spans="1:34" ht="15" customHeight="1" x14ac:dyDescent="0.25">
      <c r="A41" s="147">
        <v>4</v>
      </c>
      <c r="B41" s="29"/>
      <c r="C41" s="29"/>
      <c r="D41" s="194" t="str" cm="1">
        <f t="array" ref="D41">IFERROR(IF(IFERROR(_xlfn.IFNA(LOOKUP(2,1/('Project SqFt'!$A$18:$A$87=B41)/('Project SqFt'!$B$18:$B$87=C41),'Project SqFt'!$D$18:$D$87),LOOKUP(2,1/('Project SqFt'!$H$18:$H$87=B41)/('Project SqFt'!$I$18:$I$87=C41),'Project SqFt'!$L$18:$L$87)),LOOKUP(2,1/('Project SqFt'!$P$18:$P$78=B41)/('Project SqFt'!$Q$18:$Q$78=C41),'Project SqFt'!$T$18:$T$87))="","",IFERROR(_xlfn.IFNA(LOOKUP(2,1/('Project SqFt'!$A$18:$A$87=B41)/('Project SqFt'!$B$18:$B$87=C41),'Project SqFt'!$D$18:$D$87),LOOKUP(2,1/('Project SqFt'!$H$18:$H$87=B41)/('Project SqFt'!$I$18:$I$87=C41),'Project SqFt'!$L$18:$L$87)),LOOKUP(2,1/('Project SqFt'!$P$18:$P$78=B41)/('Project SqFt'!$Q$18:$Q$78=C41),'Project SqFt'!$T$18:$T$87))),"")</f>
        <v/>
      </c>
      <c r="E41" s="753"/>
      <c r="F41" s="753"/>
      <c r="G41" s="860"/>
      <c r="H41" s="1164"/>
      <c r="I41" s="861"/>
      <c r="J41" s="926" t="str">
        <f t="shared" si="0"/>
        <v/>
      </c>
      <c r="K41" s="926"/>
      <c r="L41" s="926"/>
      <c r="M41" s="29"/>
      <c r="N41" s="489"/>
      <c r="O41" s="29"/>
      <c r="P41" s="489"/>
      <c r="Q41" s="29"/>
      <c r="R41" s="29"/>
      <c r="S41" s="489"/>
      <c r="T41" s="147"/>
      <c r="U41" s="147" t="str">
        <f t="shared" si="1"/>
        <v/>
      </c>
      <c r="V41" s="147" t="str">
        <f t="shared" si="2"/>
        <v/>
      </c>
      <c r="W41" s="147" t="str">
        <f t="shared" si="3"/>
        <v/>
      </c>
      <c r="AH41" s="319"/>
    </row>
    <row r="42" spans="1:34" ht="15" customHeight="1" x14ac:dyDescent="0.25">
      <c r="A42" s="147">
        <v>5</v>
      </c>
      <c r="B42" s="29"/>
      <c r="C42" s="29"/>
      <c r="D42" s="194" t="str" cm="1">
        <f t="array" ref="D42">IFERROR(IF(IFERROR(_xlfn.IFNA(LOOKUP(2,1/('Project SqFt'!$A$18:$A$87=B42)/('Project SqFt'!$B$18:$B$87=C42),'Project SqFt'!$D$18:$D$87),LOOKUP(2,1/('Project SqFt'!$H$18:$H$87=B42)/('Project SqFt'!$I$18:$I$87=C42),'Project SqFt'!$L$18:$L$87)),LOOKUP(2,1/('Project SqFt'!$P$18:$P$78=B42)/('Project SqFt'!$Q$18:$Q$78=C42),'Project SqFt'!$T$18:$T$87))="","",IFERROR(_xlfn.IFNA(LOOKUP(2,1/('Project SqFt'!$A$18:$A$87=B42)/('Project SqFt'!$B$18:$B$87=C42),'Project SqFt'!$D$18:$D$87),LOOKUP(2,1/('Project SqFt'!$H$18:$H$87=B42)/('Project SqFt'!$I$18:$I$87=C42),'Project SqFt'!$L$18:$L$87)),LOOKUP(2,1/('Project SqFt'!$P$18:$P$78=B42)/('Project SqFt'!$Q$18:$Q$78=C42),'Project SqFt'!$T$18:$T$87))),"")</f>
        <v/>
      </c>
      <c r="E42" s="753"/>
      <c r="F42" s="753"/>
      <c r="G42" s="860"/>
      <c r="H42" s="1164"/>
      <c r="I42" s="861"/>
      <c r="J42" s="926" t="str">
        <f t="shared" si="0"/>
        <v/>
      </c>
      <c r="K42" s="926"/>
      <c r="L42" s="926"/>
      <c r="M42" s="29"/>
      <c r="N42" s="489"/>
      <c r="O42" s="29"/>
      <c r="P42" s="489"/>
      <c r="Q42" s="29"/>
      <c r="R42" s="29"/>
      <c r="S42" s="489"/>
      <c r="T42" s="147"/>
      <c r="U42" s="147" t="str">
        <f t="shared" si="1"/>
        <v/>
      </c>
      <c r="V42" s="147" t="str">
        <f t="shared" si="2"/>
        <v/>
      </c>
      <c r="W42" s="147" t="str">
        <f t="shared" si="3"/>
        <v/>
      </c>
    </row>
    <row r="43" spans="1:34" ht="15" customHeight="1" x14ac:dyDescent="0.25">
      <c r="A43" s="147">
        <v>6</v>
      </c>
      <c r="B43" s="29"/>
      <c r="C43" s="29"/>
      <c r="D43" s="194" t="str" cm="1">
        <f t="array" ref="D43">IFERROR(IF(IFERROR(_xlfn.IFNA(LOOKUP(2,1/('Project SqFt'!$A$18:$A$87=B43)/('Project SqFt'!$B$18:$B$87=C43),'Project SqFt'!$D$18:$D$87),LOOKUP(2,1/('Project SqFt'!$H$18:$H$87=B43)/('Project SqFt'!$I$18:$I$87=C43),'Project SqFt'!$L$18:$L$87)),LOOKUP(2,1/('Project SqFt'!$P$18:$P$78=B43)/('Project SqFt'!$Q$18:$Q$78=C43),'Project SqFt'!$T$18:$T$87))="","",IFERROR(_xlfn.IFNA(LOOKUP(2,1/('Project SqFt'!$A$18:$A$87=B43)/('Project SqFt'!$B$18:$B$87=C43),'Project SqFt'!$D$18:$D$87),LOOKUP(2,1/('Project SqFt'!$H$18:$H$87=B43)/('Project SqFt'!$I$18:$I$87=C43),'Project SqFt'!$L$18:$L$87)),LOOKUP(2,1/('Project SqFt'!$P$18:$P$78=B43)/('Project SqFt'!$Q$18:$Q$78=C43),'Project SqFt'!$T$18:$T$87))),"")</f>
        <v/>
      </c>
      <c r="E43" s="753"/>
      <c r="F43" s="753"/>
      <c r="G43" s="860"/>
      <c r="H43" s="1164"/>
      <c r="I43" s="861"/>
      <c r="J43" s="926" t="str">
        <f t="shared" si="0"/>
        <v/>
      </c>
      <c r="K43" s="926"/>
      <c r="L43" s="926"/>
      <c r="M43" s="29"/>
      <c r="N43" s="489"/>
      <c r="O43" s="29"/>
      <c r="P43" s="489"/>
      <c r="Q43" s="29"/>
      <c r="R43" s="29"/>
      <c r="S43" s="489"/>
      <c r="T43" s="147"/>
      <c r="U43" s="147" t="str">
        <f t="shared" si="1"/>
        <v/>
      </c>
      <c r="V43" s="147" t="str">
        <f t="shared" si="2"/>
        <v/>
      </c>
      <c r="W43" s="147" t="str">
        <f t="shared" si="3"/>
        <v/>
      </c>
    </row>
    <row r="44" spans="1:34" s="495" customFormat="1" ht="15" customHeight="1" x14ac:dyDescent="0.25">
      <c r="A44" s="147">
        <v>7</v>
      </c>
      <c r="B44" s="29"/>
      <c r="C44" s="29"/>
      <c r="D44" s="194" t="str" cm="1">
        <f t="array" ref="D44">IFERROR(IF(IFERROR(_xlfn.IFNA(LOOKUP(2,1/('Project SqFt'!$A$18:$A$87=B44)/('Project SqFt'!$B$18:$B$87=C44),'Project SqFt'!$D$18:$D$87),LOOKUP(2,1/('Project SqFt'!$H$18:$H$87=B44)/('Project SqFt'!$I$18:$I$87=C44),'Project SqFt'!$L$18:$L$87)),LOOKUP(2,1/('Project SqFt'!$P$18:$P$78=B44)/('Project SqFt'!$Q$18:$Q$78=C44),'Project SqFt'!$T$18:$T$87))="","",IFERROR(_xlfn.IFNA(LOOKUP(2,1/('Project SqFt'!$A$18:$A$87=B44)/('Project SqFt'!$B$18:$B$87=C44),'Project SqFt'!$D$18:$D$87),LOOKUP(2,1/('Project SqFt'!$H$18:$H$87=B44)/('Project SqFt'!$I$18:$I$87=C44),'Project SqFt'!$L$18:$L$87)),LOOKUP(2,1/('Project SqFt'!$P$18:$P$78=B44)/('Project SqFt'!$Q$18:$Q$78=C44),'Project SqFt'!$T$18:$T$87))),"")</f>
        <v/>
      </c>
      <c r="E44" s="753"/>
      <c r="F44" s="753"/>
      <c r="G44" s="860"/>
      <c r="H44" s="1164"/>
      <c r="I44" s="861"/>
      <c r="J44" s="926" t="str">
        <f t="shared" si="0"/>
        <v/>
      </c>
      <c r="K44" s="926"/>
      <c r="L44" s="926"/>
      <c r="M44" s="29"/>
      <c r="N44" s="489"/>
      <c r="O44" s="29"/>
      <c r="P44" s="489"/>
      <c r="Q44" s="29"/>
      <c r="R44" s="29"/>
      <c r="S44" s="489"/>
      <c r="T44" s="147"/>
      <c r="U44" s="147" t="str">
        <f t="shared" si="1"/>
        <v/>
      </c>
      <c r="V44" s="147" t="str">
        <f t="shared" si="2"/>
        <v/>
      </c>
      <c r="W44" s="147" t="str">
        <f t="shared" si="3"/>
        <v/>
      </c>
    </row>
    <row r="45" spans="1:34" s="420" customFormat="1" ht="15" customHeight="1" x14ac:dyDescent="0.25">
      <c r="A45" s="147">
        <v>8</v>
      </c>
      <c r="B45" s="29"/>
      <c r="C45" s="29"/>
      <c r="D45" s="194" t="str" cm="1">
        <f t="array" ref="D45">IFERROR(IF(IFERROR(_xlfn.IFNA(LOOKUP(2,1/('Project SqFt'!$A$18:$A$87=B45)/('Project SqFt'!$B$18:$B$87=C45),'Project SqFt'!$D$18:$D$87),LOOKUP(2,1/('Project SqFt'!$H$18:$H$87=B45)/('Project SqFt'!$I$18:$I$87=C45),'Project SqFt'!$L$18:$L$87)),LOOKUP(2,1/('Project SqFt'!$P$18:$P$78=B45)/('Project SqFt'!$Q$18:$Q$78=C45),'Project SqFt'!$T$18:$T$87))="","",IFERROR(_xlfn.IFNA(LOOKUP(2,1/('Project SqFt'!$A$18:$A$87=B45)/('Project SqFt'!$B$18:$B$87=C45),'Project SqFt'!$D$18:$D$87),LOOKUP(2,1/('Project SqFt'!$H$18:$H$87=B45)/('Project SqFt'!$I$18:$I$87=C45),'Project SqFt'!$L$18:$L$87)),LOOKUP(2,1/('Project SqFt'!$P$18:$P$78=B45)/('Project SqFt'!$Q$18:$Q$78=C45),'Project SqFt'!$T$18:$T$87))),"")</f>
        <v/>
      </c>
      <c r="E45" s="753"/>
      <c r="F45" s="753"/>
      <c r="G45" s="860"/>
      <c r="H45" s="1164"/>
      <c r="I45" s="861"/>
      <c r="J45" s="926" t="str">
        <f t="shared" si="0"/>
        <v/>
      </c>
      <c r="K45" s="926"/>
      <c r="L45" s="926"/>
      <c r="M45" s="29"/>
      <c r="N45" s="489"/>
      <c r="O45" s="29"/>
      <c r="P45" s="489"/>
      <c r="Q45" s="29"/>
      <c r="R45" s="29"/>
      <c r="S45" s="489"/>
      <c r="T45" s="147"/>
      <c r="U45" s="147" t="str">
        <f t="shared" si="1"/>
        <v/>
      </c>
      <c r="V45" s="147" t="str">
        <f t="shared" si="2"/>
        <v/>
      </c>
      <c r="W45" s="147" t="str">
        <f t="shared" si="3"/>
        <v/>
      </c>
    </row>
    <row r="46" spans="1:34" s="420" customFormat="1" ht="15" customHeight="1" x14ac:dyDescent="0.25">
      <c r="A46" s="147">
        <v>9</v>
      </c>
      <c r="B46" s="29"/>
      <c r="C46" s="29"/>
      <c r="D46" s="194" t="str" cm="1">
        <f t="array" ref="D46">IFERROR(IF(IFERROR(_xlfn.IFNA(LOOKUP(2,1/('Project SqFt'!$A$18:$A$87=B46)/('Project SqFt'!$B$18:$B$87=C46),'Project SqFt'!$D$18:$D$87),LOOKUP(2,1/('Project SqFt'!$H$18:$H$87=B46)/('Project SqFt'!$I$18:$I$87=C46),'Project SqFt'!$L$18:$L$87)),LOOKUP(2,1/('Project SqFt'!$P$18:$P$78=B46)/('Project SqFt'!$Q$18:$Q$78=C46),'Project SqFt'!$T$18:$T$87))="","",IFERROR(_xlfn.IFNA(LOOKUP(2,1/('Project SqFt'!$A$18:$A$87=B46)/('Project SqFt'!$B$18:$B$87=C46),'Project SqFt'!$D$18:$D$87),LOOKUP(2,1/('Project SqFt'!$H$18:$H$87=B46)/('Project SqFt'!$I$18:$I$87=C46),'Project SqFt'!$L$18:$L$87)),LOOKUP(2,1/('Project SqFt'!$P$18:$P$78=B46)/('Project SqFt'!$Q$18:$Q$78=C46),'Project SqFt'!$T$18:$T$87))),"")</f>
        <v/>
      </c>
      <c r="E46" s="753"/>
      <c r="F46" s="753"/>
      <c r="G46" s="860"/>
      <c r="H46" s="1164"/>
      <c r="I46" s="861"/>
      <c r="J46" s="926" t="str">
        <f t="shared" si="0"/>
        <v/>
      </c>
      <c r="K46" s="926"/>
      <c r="L46" s="926"/>
      <c r="M46" s="29"/>
      <c r="N46" s="489"/>
      <c r="O46" s="29"/>
      <c r="P46" s="489"/>
      <c r="Q46" s="29"/>
      <c r="R46" s="29"/>
      <c r="S46" s="489"/>
      <c r="T46" s="147"/>
      <c r="U46" s="147" t="str">
        <f t="shared" si="1"/>
        <v/>
      </c>
      <c r="V46" s="147" t="str">
        <f t="shared" si="2"/>
        <v/>
      </c>
      <c r="W46" s="147" t="str">
        <f t="shared" si="3"/>
        <v/>
      </c>
    </row>
    <row r="47" spans="1:34" s="420" customFormat="1" ht="15" customHeight="1" x14ac:dyDescent="0.25">
      <c r="A47" s="147">
        <v>10</v>
      </c>
      <c r="B47" s="29"/>
      <c r="C47" s="29"/>
      <c r="D47" s="194" t="str" cm="1">
        <f t="array" ref="D47">IFERROR(IF(IFERROR(_xlfn.IFNA(LOOKUP(2,1/('Project SqFt'!$A$18:$A$87=B47)/('Project SqFt'!$B$18:$B$87=C47),'Project SqFt'!$D$18:$D$87),LOOKUP(2,1/('Project SqFt'!$H$18:$H$87=B47)/('Project SqFt'!$I$18:$I$87=C47),'Project SqFt'!$L$18:$L$87)),LOOKUP(2,1/('Project SqFt'!$P$18:$P$78=B47)/('Project SqFt'!$Q$18:$Q$78=C47),'Project SqFt'!$T$18:$T$87))="","",IFERROR(_xlfn.IFNA(LOOKUP(2,1/('Project SqFt'!$A$18:$A$87=B47)/('Project SqFt'!$B$18:$B$87=C47),'Project SqFt'!$D$18:$D$87),LOOKUP(2,1/('Project SqFt'!$H$18:$H$87=B47)/('Project SqFt'!$I$18:$I$87=C47),'Project SqFt'!$L$18:$L$87)),LOOKUP(2,1/('Project SqFt'!$P$18:$P$78=B47)/('Project SqFt'!$Q$18:$Q$78=C47),'Project SqFt'!$T$18:$T$87))),"")</f>
        <v/>
      </c>
      <c r="E47" s="753"/>
      <c r="F47" s="753"/>
      <c r="G47" s="860"/>
      <c r="H47" s="1164"/>
      <c r="I47" s="861"/>
      <c r="J47" s="926" t="str">
        <f t="shared" si="0"/>
        <v/>
      </c>
      <c r="K47" s="926"/>
      <c r="L47" s="926"/>
      <c r="M47" s="29"/>
      <c r="N47" s="489"/>
      <c r="O47" s="29"/>
      <c r="P47" s="489"/>
      <c r="Q47" s="29"/>
      <c r="R47" s="29"/>
      <c r="S47" s="489"/>
      <c r="T47" s="147"/>
      <c r="U47" s="147" t="str">
        <f t="shared" si="1"/>
        <v/>
      </c>
      <c r="V47" s="147" t="str">
        <f t="shared" si="2"/>
        <v/>
      </c>
      <c r="W47" s="147" t="str">
        <f t="shared" si="3"/>
        <v/>
      </c>
    </row>
    <row r="48" spans="1:34" s="420" customFormat="1" ht="15" customHeight="1" x14ac:dyDescent="0.25">
      <c r="A48" s="147">
        <v>11</v>
      </c>
      <c r="B48" s="29"/>
      <c r="C48" s="29"/>
      <c r="D48" s="194" t="str" cm="1">
        <f t="array" ref="D48">IFERROR(IF(IFERROR(_xlfn.IFNA(LOOKUP(2,1/('Project SqFt'!$A$18:$A$87=B48)/('Project SqFt'!$B$18:$B$87=C48),'Project SqFt'!$D$18:$D$87),LOOKUP(2,1/('Project SqFt'!$H$18:$H$87=B48)/('Project SqFt'!$I$18:$I$87=C48),'Project SqFt'!$L$18:$L$87)),LOOKUP(2,1/('Project SqFt'!$P$18:$P$78=B48)/('Project SqFt'!$Q$18:$Q$78=C48),'Project SqFt'!$T$18:$T$87))="","",IFERROR(_xlfn.IFNA(LOOKUP(2,1/('Project SqFt'!$A$18:$A$87=B48)/('Project SqFt'!$B$18:$B$87=C48),'Project SqFt'!$D$18:$D$87),LOOKUP(2,1/('Project SqFt'!$H$18:$H$87=B48)/('Project SqFt'!$I$18:$I$87=C48),'Project SqFt'!$L$18:$L$87)),LOOKUP(2,1/('Project SqFt'!$P$18:$P$78=B48)/('Project SqFt'!$Q$18:$Q$78=C48),'Project SqFt'!$T$18:$T$87))),"")</f>
        <v/>
      </c>
      <c r="E48" s="753"/>
      <c r="F48" s="753"/>
      <c r="G48" s="860"/>
      <c r="H48" s="1164"/>
      <c r="I48" s="861"/>
      <c r="J48" s="926" t="str">
        <f t="shared" si="0"/>
        <v/>
      </c>
      <c r="K48" s="926"/>
      <c r="L48" s="926"/>
      <c r="M48" s="29"/>
      <c r="N48" s="489"/>
      <c r="O48" s="29"/>
      <c r="P48" s="489"/>
      <c r="Q48" s="29"/>
      <c r="R48" s="29"/>
      <c r="S48" s="489"/>
      <c r="T48" s="147"/>
      <c r="U48" s="147" t="str">
        <f t="shared" si="1"/>
        <v/>
      </c>
      <c r="V48" s="147" t="str">
        <f t="shared" si="2"/>
        <v/>
      </c>
      <c r="W48" s="147" t="str">
        <f t="shared" si="3"/>
        <v/>
      </c>
    </row>
    <row r="49" spans="1:23" s="420" customFormat="1" ht="15" customHeight="1" x14ac:dyDescent="0.25">
      <c r="A49" s="147">
        <v>12</v>
      </c>
      <c r="B49" s="29"/>
      <c r="C49" s="29"/>
      <c r="D49" s="194" t="str" cm="1">
        <f t="array" ref="D49">IFERROR(IF(IFERROR(_xlfn.IFNA(LOOKUP(2,1/('Project SqFt'!$A$18:$A$87=B49)/('Project SqFt'!$B$18:$B$87=C49),'Project SqFt'!$D$18:$D$87),LOOKUP(2,1/('Project SqFt'!$H$18:$H$87=B49)/('Project SqFt'!$I$18:$I$87=C49),'Project SqFt'!$L$18:$L$87)),LOOKUP(2,1/('Project SqFt'!$P$18:$P$78=B49)/('Project SqFt'!$Q$18:$Q$78=C49),'Project SqFt'!$T$18:$T$87))="","",IFERROR(_xlfn.IFNA(LOOKUP(2,1/('Project SqFt'!$A$18:$A$87=B49)/('Project SqFt'!$B$18:$B$87=C49),'Project SqFt'!$D$18:$D$87),LOOKUP(2,1/('Project SqFt'!$H$18:$H$87=B49)/('Project SqFt'!$I$18:$I$87=C49),'Project SqFt'!$L$18:$L$87)),LOOKUP(2,1/('Project SqFt'!$P$18:$P$78=B49)/('Project SqFt'!$Q$18:$Q$78=C49),'Project SqFt'!$T$18:$T$87))),"")</f>
        <v/>
      </c>
      <c r="E49" s="753"/>
      <c r="F49" s="753"/>
      <c r="G49" s="860"/>
      <c r="H49" s="1164"/>
      <c r="I49" s="861"/>
      <c r="J49" s="926" t="str">
        <f t="shared" si="0"/>
        <v/>
      </c>
      <c r="K49" s="926"/>
      <c r="L49" s="926"/>
      <c r="M49" s="29"/>
      <c r="N49" s="489"/>
      <c r="O49" s="29"/>
      <c r="P49" s="489"/>
      <c r="Q49" s="29"/>
      <c r="R49" s="29"/>
      <c r="S49" s="489"/>
      <c r="T49" s="147"/>
      <c r="U49" s="147" t="str">
        <f t="shared" si="1"/>
        <v/>
      </c>
      <c r="V49" s="147" t="str">
        <f t="shared" si="2"/>
        <v/>
      </c>
      <c r="W49" s="147" t="str">
        <f t="shared" si="3"/>
        <v/>
      </c>
    </row>
    <row r="50" spans="1:23" s="420" customFormat="1" ht="15" customHeight="1" x14ac:dyDescent="0.25">
      <c r="A50" s="147">
        <v>13</v>
      </c>
      <c r="B50" s="29"/>
      <c r="C50" s="29"/>
      <c r="D50" s="194" t="str" cm="1">
        <f t="array" ref="D50">IFERROR(IF(IFERROR(_xlfn.IFNA(LOOKUP(2,1/('Project SqFt'!$A$18:$A$87=B50)/('Project SqFt'!$B$18:$B$87=C50),'Project SqFt'!$D$18:$D$87),LOOKUP(2,1/('Project SqFt'!$H$18:$H$87=B50)/('Project SqFt'!$I$18:$I$87=C50),'Project SqFt'!$L$18:$L$87)),LOOKUP(2,1/('Project SqFt'!$P$18:$P$78=B50)/('Project SqFt'!$Q$18:$Q$78=C50),'Project SqFt'!$T$18:$T$87))="","",IFERROR(_xlfn.IFNA(LOOKUP(2,1/('Project SqFt'!$A$18:$A$87=B50)/('Project SqFt'!$B$18:$B$87=C50),'Project SqFt'!$D$18:$D$87),LOOKUP(2,1/('Project SqFt'!$H$18:$H$87=B50)/('Project SqFt'!$I$18:$I$87=C50),'Project SqFt'!$L$18:$L$87)),LOOKUP(2,1/('Project SqFt'!$P$18:$P$78=B50)/('Project SqFt'!$Q$18:$Q$78=C50),'Project SqFt'!$T$18:$T$87))),"")</f>
        <v/>
      </c>
      <c r="E50" s="753"/>
      <c r="F50" s="753"/>
      <c r="G50" s="860"/>
      <c r="H50" s="1164"/>
      <c r="I50" s="861"/>
      <c r="J50" s="926" t="str">
        <f t="shared" si="0"/>
        <v/>
      </c>
      <c r="K50" s="926"/>
      <c r="L50" s="926"/>
      <c r="M50" s="29"/>
      <c r="N50" s="489"/>
      <c r="O50" s="29"/>
      <c r="P50" s="489"/>
      <c r="Q50" s="29"/>
      <c r="R50" s="29"/>
      <c r="S50" s="489"/>
      <c r="T50" s="147"/>
      <c r="U50" s="147" t="str">
        <f t="shared" si="1"/>
        <v/>
      </c>
      <c r="V50" s="147" t="str">
        <f t="shared" si="2"/>
        <v/>
      </c>
      <c r="W50" s="147" t="str">
        <f t="shared" si="3"/>
        <v/>
      </c>
    </row>
    <row r="51" spans="1:23" s="420" customFormat="1" ht="15" customHeight="1" x14ac:dyDescent="0.25">
      <c r="A51" s="147">
        <v>14</v>
      </c>
      <c r="B51" s="29"/>
      <c r="C51" s="29"/>
      <c r="D51" s="194" t="str" cm="1">
        <f t="array" ref="D51">IFERROR(IF(IFERROR(_xlfn.IFNA(LOOKUP(2,1/('Project SqFt'!$A$18:$A$87=B51)/('Project SqFt'!$B$18:$B$87=C51),'Project SqFt'!$D$18:$D$87),LOOKUP(2,1/('Project SqFt'!$H$18:$H$87=B51)/('Project SqFt'!$I$18:$I$87=C51),'Project SqFt'!$L$18:$L$87)),LOOKUP(2,1/('Project SqFt'!$P$18:$P$78=B51)/('Project SqFt'!$Q$18:$Q$78=C51),'Project SqFt'!$T$18:$T$87))="","",IFERROR(_xlfn.IFNA(LOOKUP(2,1/('Project SqFt'!$A$18:$A$87=B51)/('Project SqFt'!$B$18:$B$87=C51),'Project SqFt'!$D$18:$D$87),LOOKUP(2,1/('Project SqFt'!$H$18:$H$87=B51)/('Project SqFt'!$I$18:$I$87=C51),'Project SqFt'!$L$18:$L$87)),LOOKUP(2,1/('Project SqFt'!$P$18:$P$78=B51)/('Project SqFt'!$Q$18:$Q$78=C51),'Project SqFt'!$T$18:$T$87))),"")</f>
        <v/>
      </c>
      <c r="E51" s="753"/>
      <c r="F51" s="753"/>
      <c r="G51" s="860"/>
      <c r="H51" s="1164"/>
      <c r="I51" s="861"/>
      <c r="J51" s="926" t="str">
        <f t="shared" si="0"/>
        <v/>
      </c>
      <c r="K51" s="926"/>
      <c r="L51" s="926"/>
      <c r="M51" s="29"/>
      <c r="N51" s="489"/>
      <c r="O51" s="29"/>
      <c r="P51" s="489"/>
      <c r="Q51" s="29"/>
      <c r="R51" s="29"/>
      <c r="S51" s="489"/>
      <c r="T51" s="147"/>
      <c r="U51" s="147" t="str">
        <f t="shared" si="1"/>
        <v/>
      </c>
      <c r="V51" s="147" t="str">
        <f t="shared" si="2"/>
        <v/>
      </c>
      <c r="W51" s="147" t="str">
        <f t="shared" si="3"/>
        <v/>
      </c>
    </row>
    <row r="52" spans="1:23" s="420" customFormat="1" ht="15" customHeight="1" x14ac:dyDescent="0.25">
      <c r="A52" s="147">
        <v>15</v>
      </c>
      <c r="B52" s="29"/>
      <c r="C52" s="29"/>
      <c r="D52" s="194" t="str" cm="1">
        <f t="array" ref="D52">IFERROR(IF(IFERROR(_xlfn.IFNA(LOOKUP(2,1/('Project SqFt'!$A$18:$A$87=B52)/('Project SqFt'!$B$18:$B$87=C52),'Project SqFt'!$D$18:$D$87),LOOKUP(2,1/('Project SqFt'!$H$18:$H$87=B52)/('Project SqFt'!$I$18:$I$87=C52),'Project SqFt'!$L$18:$L$87)),LOOKUP(2,1/('Project SqFt'!$P$18:$P$78=B52)/('Project SqFt'!$Q$18:$Q$78=C52),'Project SqFt'!$T$18:$T$87))="","",IFERROR(_xlfn.IFNA(LOOKUP(2,1/('Project SqFt'!$A$18:$A$87=B52)/('Project SqFt'!$B$18:$B$87=C52),'Project SqFt'!$D$18:$D$87),LOOKUP(2,1/('Project SqFt'!$H$18:$H$87=B52)/('Project SqFt'!$I$18:$I$87=C52),'Project SqFt'!$L$18:$L$87)),LOOKUP(2,1/('Project SqFt'!$P$18:$P$78=B52)/('Project SqFt'!$Q$18:$Q$78=C52),'Project SqFt'!$T$18:$T$87))),"")</f>
        <v/>
      </c>
      <c r="E52" s="753"/>
      <c r="F52" s="753"/>
      <c r="G52" s="860"/>
      <c r="H52" s="1164"/>
      <c r="I52" s="861"/>
      <c r="J52" s="926" t="str">
        <f t="shared" si="0"/>
        <v/>
      </c>
      <c r="K52" s="926"/>
      <c r="L52" s="926"/>
      <c r="M52" s="29"/>
      <c r="N52" s="489"/>
      <c r="O52" s="29"/>
      <c r="P52" s="489"/>
      <c r="Q52" s="29"/>
      <c r="R52" s="29"/>
      <c r="S52" s="489"/>
      <c r="T52" s="147"/>
      <c r="U52" s="147" t="str">
        <f t="shared" si="1"/>
        <v/>
      </c>
      <c r="V52" s="147" t="str">
        <f t="shared" si="2"/>
        <v/>
      </c>
      <c r="W52" s="147" t="str">
        <f t="shared" si="3"/>
        <v/>
      </c>
    </row>
    <row r="53" spans="1:23" s="420" customFormat="1" ht="15" customHeight="1" x14ac:dyDescent="0.25">
      <c r="A53" s="147">
        <v>16</v>
      </c>
      <c r="B53" s="29"/>
      <c r="C53" s="29"/>
      <c r="D53" s="194" t="str" cm="1">
        <f t="array" ref="D53">IFERROR(IF(IFERROR(_xlfn.IFNA(LOOKUP(2,1/('Project SqFt'!$A$18:$A$87=B53)/('Project SqFt'!$B$18:$B$87=C53),'Project SqFt'!$D$18:$D$87),LOOKUP(2,1/('Project SqFt'!$H$18:$H$87=B53)/('Project SqFt'!$I$18:$I$87=C53),'Project SqFt'!$L$18:$L$87)),LOOKUP(2,1/('Project SqFt'!$P$18:$P$78=B53)/('Project SqFt'!$Q$18:$Q$78=C53),'Project SqFt'!$T$18:$T$87))="","",IFERROR(_xlfn.IFNA(LOOKUP(2,1/('Project SqFt'!$A$18:$A$87=B53)/('Project SqFt'!$B$18:$B$87=C53),'Project SqFt'!$D$18:$D$87),LOOKUP(2,1/('Project SqFt'!$H$18:$H$87=B53)/('Project SqFt'!$I$18:$I$87=C53),'Project SqFt'!$L$18:$L$87)),LOOKUP(2,1/('Project SqFt'!$P$18:$P$78=B53)/('Project SqFt'!$Q$18:$Q$78=C53),'Project SqFt'!$T$18:$T$87))),"")</f>
        <v/>
      </c>
      <c r="E53" s="753"/>
      <c r="F53" s="753"/>
      <c r="G53" s="860"/>
      <c r="H53" s="1164"/>
      <c r="I53" s="861"/>
      <c r="J53" s="926" t="str">
        <f t="shared" si="0"/>
        <v/>
      </c>
      <c r="K53" s="926"/>
      <c r="L53" s="926"/>
      <c r="M53" s="29"/>
      <c r="N53" s="489"/>
      <c r="O53" s="29"/>
      <c r="P53" s="489"/>
      <c r="Q53" s="29"/>
      <c r="R53" s="29"/>
      <c r="S53" s="489"/>
      <c r="T53" s="147"/>
      <c r="U53" s="147" t="str">
        <f t="shared" si="1"/>
        <v/>
      </c>
      <c r="V53" s="147" t="str">
        <f t="shared" si="2"/>
        <v/>
      </c>
      <c r="W53" s="147" t="str">
        <f t="shared" si="3"/>
        <v/>
      </c>
    </row>
    <row r="54" spans="1:23" s="420" customFormat="1" ht="15" customHeight="1" x14ac:dyDescent="0.25">
      <c r="A54" s="147">
        <v>17</v>
      </c>
      <c r="B54" s="29"/>
      <c r="C54" s="29"/>
      <c r="D54" s="194" t="str" cm="1">
        <f t="array" ref="D54">IFERROR(IF(IFERROR(_xlfn.IFNA(LOOKUP(2,1/('Project SqFt'!$A$18:$A$87=B54)/('Project SqFt'!$B$18:$B$87=C54),'Project SqFt'!$D$18:$D$87),LOOKUP(2,1/('Project SqFt'!$H$18:$H$87=B54)/('Project SqFt'!$I$18:$I$87=C54),'Project SqFt'!$L$18:$L$87)),LOOKUP(2,1/('Project SqFt'!$P$18:$P$78=B54)/('Project SqFt'!$Q$18:$Q$78=C54),'Project SqFt'!$T$18:$T$87))="","",IFERROR(_xlfn.IFNA(LOOKUP(2,1/('Project SqFt'!$A$18:$A$87=B54)/('Project SqFt'!$B$18:$B$87=C54),'Project SqFt'!$D$18:$D$87),LOOKUP(2,1/('Project SqFt'!$H$18:$H$87=B54)/('Project SqFt'!$I$18:$I$87=C54),'Project SqFt'!$L$18:$L$87)),LOOKUP(2,1/('Project SqFt'!$P$18:$P$78=B54)/('Project SqFt'!$Q$18:$Q$78=C54),'Project SqFt'!$T$18:$T$87))),"")</f>
        <v/>
      </c>
      <c r="E54" s="753"/>
      <c r="F54" s="753"/>
      <c r="G54" s="860"/>
      <c r="H54" s="1164"/>
      <c r="I54" s="861"/>
      <c r="J54" s="926" t="str">
        <f t="shared" si="0"/>
        <v/>
      </c>
      <c r="K54" s="926"/>
      <c r="L54" s="926"/>
      <c r="M54" s="29"/>
      <c r="N54" s="489"/>
      <c r="O54" s="29"/>
      <c r="P54" s="489"/>
      <c r="Q54" s="29"/>
      <c r="R54" s="29"/>
      <c r="S54" s="489"/>
      <c r="T54" s="147"/>
      <c r="U54" s="147" t="str">
        <f t="shared" si="1"/>
        <v/>
      </c>
      <c r="V54" s="147" t="str">
        <f t="shared" si="2"/>
        <v/>
      </c>
      <c r="W54" s="147" t="str">
        <f t="shared" si="3"/>
        <v/>
      </c>
    </row>
    <row r="55" spans="1:23" s="420" customFormat="1" ht="15" customHeight="1" x14ac:dyDescent="0.25">
      <c r="A55" s="147">
        <v>18</v>
      </c>
      <c r="B55" s="29"/>
      <c r="C55" s="29"/>
      <c r="D55" s="194" t="str" cm="1">
        <f t="array" ref="D55">IFERROR(IF(IFERROR(_xlfn.IFNA(LOOKUP(2,1/('Project SqFt'!$A$18:$A$87=B55)/('Project SqFt'!$B$18:$B$87=C55),'Project SqFt'!$D$18:$D$87),LOOKUP(2,1/('Project SqFt'!$H$18:$H$87=B55)/('Project SqFt'!$I$18:$I$87=C55),'Project SqFt'!$L$18:$L$87)),LOOKUP(2,1/('Project SqFt'!$P$18:$P$78=B55)/('Project SqFt'!$Q$18:$Q$78=C55),'Project SqFt'!$T$18:$T$87))="","",IFERROR(_xlfn.IFNA(LOOKUP(2,1/('Project SqFt'!$A$18:$A$87=B55)/('Project SqFt'!$B$18:$B$87=C55),'Project SqFt'!$D$18:$D$87),LOOKUP(2,1/('Project SqFt'!$H$18:$H$87=B55)/('Project SqFt'!$I$18:$I$87=C55),'Project SqFt'!$L$18:$L$87)),LOOKUP(2,1/('Project SqFt'!$P$18:$P$78=B55)/('Project SqFt'!$Q$18:$Q$78=C55),'Project SqFt'!$T$18:$T$87))),"")</f>
        <v/>
      </c>
      <c r="E55" s="753"/>
      <c r="F55" s="753"/>
      <c r="G55" s="860"/>
      <c r="H55" s="1164"/>
      <c r="I55" s="861"/>
      <c r="J55" s="926" t="str">
        <f t="shared" si="0"/>
        <v/>
      </c>
      <c r="K55" s="926"/>
      <c r="L55" s="926"/>
      <c r="M55" s="29"/>
      <c r="N55" s="489"/>
      <c r="O55" s="29"/>
      <c r="P55" s="489"/>
      <c r="Q55" s="29"/>
      <c r="R55" s="29"/>
      <c r="S55" s="489"/>
      <c r="T55" s="147"/>
      <c r="U55" s="147" t="str">
        <f t="shared" si="1"/>
        <v/>
      </c>
      <c r="V55" s="147" t="str">
        <f t="shared" si="2"/>
        <v/>
      </c>
      <c r="W55" s="147" t="str">
        <f t="shared" si="3"/>
        <v/>
      </c>
    </row>
    <row r="56" spans="1:23" s="420" customFormat="1" x14ac:dyDescent="0.25">
      <c r="A56" s="147">
        <v>19</v>
      </c>
      <c r="B56" s="29"/>
      <c r="C56" s="29"/>
      <c r="D56" s="194" t="str" cm="1">
        <f t="array" ref="D56">IFERROR(IF(IFERROR(_xlfn.IFNA(LOOKUP(2,1/('Project SqFt'!$A$18:$A$87=B56)/('Project SqFt'!$B$18:$B$87=C56),'Project SqFt'!$D$18:$D$87),LOOKUP(2,1/('Project SqFt'!$H$18:$H$87=B56)/('Project SqFt'!$I$18:$I$87=C56),'Project SqFt'!$L$18:$L$87)),LOOKUP(2,1/('Project SqFt'!$P$18:$P$78=B56)/('Project SqFt'!$Q$18:$Q$78=C56),'Project SqFt'!$T$18:$T$87))="","",IFERROR(_xlfn.IFNA(LOOKUP(2,1/('Project SqFt'!$A$18:$A$87=B56)/('Project SqFt'!$B$18:$B$87=C56),'Project SqFt'!$D$18:$D$87),LOOKUP(2,1/('Project SqFt'!$H$18:$H$87=B56)/('Project SqFt'!$I$18:$I$87=C56),'Project SqFt'!$L$18:$L$87)),LOOKUP(2,1/('Project SqFt'!$P$18:$P$78=B56)/('Project SqFt'!$Q$18:$Q$78=C56),'Project SqFt'!$T$18:$T$87))),"")</f>
        <v/>
      </c>
      <c r="E56" s="753"/>
      <c r="F56" s="753"/>
      <c r="G56" s="860"/>
      <c r="H56" s="1164"/>
      <c r="I56" s="861"/>
      <c r="J56" s="926" t="str">
        <f t="shared" si="0"/>
        <v/>
      </c>
      <c r="K56" s="926"/>
      <c r="L56" s="926"/>
      <c r="M56" s="29"/>
      <c r="N56" s="489"/>
      <c r="O56" s="29"/>
      <c r="P56" s="489"/>
      <c r="Q56" s="29"/>
      <c r="R56" s="29"/>
      <c r="S56" s="489"/>
      <c r="T56" s="147"/>
      <c r="U56" s="147" t="str">
        <f t="shared" si="1"/>
        <v/>
      </c>
      <c r="V56" s="147" t="str">
        <f t="shared" si="2"/>
        <v/>
      </c>
      <c r="W56" s="147" t="str">
        <f t="shared" si="3"/>
        <v/>
      </c>
    </row>
    <row r="57" spans="1:23" s="420" customFormat="1" x14ac:dyDescent="0.25">
      <c r="A57" s="147">
        <v>20</v>
      </c>
      <c r="B57" s="29"/>
      <c r="C57" s="29"/>
      <c r="D57" s="194" t="str" cm="1">
        <f t="array" ref="D57">IFERROR(IF(IFERROR(_xlfn.IFNA(LOOKUP(2,1/('Project SqFt'!$A$18:$A$87=B57)/('Project SqFt'!$B$18:$B$87=C57),'Project SqFt'!$D$18:$D$87),LOOKUP(2,1/('Project SqFt'!$H$18:$H$87=B57)/('Project SqFt'!$I$18:$I$87=C57),'Project SqFt'!$L$18:$L$87)),LOOKUP(2,1/('Project SqFt'!$P$18:$P$78=B57)/('Project SqFt'!$Q$18:$Q$78=C57),'Project SqFt'!$T$18:$T$87))="","",IFERROR(_xlfn.IFNA(LOOKUP(2,1/('Project SqFt'!$A$18:$A$87=B57)/('Project SqFt'!$B$18:$B$87=C57),'Project SqFt'!$D$18:$D$87),LOOKUP(2,1/('Project SqFt'!$H$18:$H$87=B57)/('Project SqFt'!$I$18:$I$87=C57),'Project SqFt'!$L$18:$L$87)),LOOKUP(2,1/('Project SqFt'!$P$18:$P$78=B57)/('Project SqFt'!$Q$18:$Q$78=C57),'Project SqFt'!$T$18:$T$87))),"")</f>
        <v/>
      </c>
      <c r="E57" s="753"/>
      <c r="F57" s="753"/>
      <c r="G57" s="860"/>
      <c r="H57" s="1164"/>
      <c r="I57" s="861"/>
      <c r="J57" s="926" t="str">
        <f t="shared" si="0"/>
        <v/>
      </c>
      <c r="K57" s="926"/>
      <c r="L57" s="926"/>
      <c r="M57" s="29"/>
      <c r="N57" s="489"/>
      <c r="O57" s="29"/>
      <c r="P57" s="489"/>
      <c r="Q57" s="29"/>
      <c r="R57" s="29"/>
      <c r="S57" s="489"/>
      <c r="T57" s="147"/>
      <c r="U57" s="147" t="str">
        <f t="shared" si="1"/>
        <v/>
      </c>
      <c r="V57" s="147" t="str">
        <f t="shared" si="2"/>
        <v/>
      </c>
      <c r="W57" s="147" t="str">
        <f t="shared" si="3"/>
        <v/>
      </c>
    </row>
    <row r="58" spans="1:23" s="420" customFormat="1" x14ac:dyDescent="0.25">
      <c r="A58" s="147">
        <v>21</v>
      </c>
      <c r="B58" s="29"/>
      <c r="C58" s="29"/>
      <c r="D58" s="194" t="str" cm="1">
        <f t="array" ref="D58">IFERROR(IF(IFERROR(_xlfn.IFNA(LOOKUP(2,1/('Project SqFt'!$A$18:$A$87=B58)/('Project SqFt'!$B$18:$B$87=C58),'Project SqFt'!$D$18:$D$87),LOOKUP(2,1/('Project SqFt'!$H$18:$H$87=B58)/('Project SqFt'!$I$18:$I$87=C58),'Project SqFt'!$L$18:$L$87)),LOOKUP(2,1/('Project SqFt'!$P$18:$P$78=B58)/('Project SqFt'!$Q$18:$Q$78=C58),'Project SqFt'!$T$18:$T$87))="","",IFERROR(_xlfn.IFNA(LOOKUP(2,1/('Project SqFt'!$A$18:$A$87=B58)/('Project SqFt'!$B$18:$B$87=C58),'Project SqFt'!$D$18:$D$87),LOOKUP(2,1/('Project SqFt'!$H$18:$H$87=B58)/('Project SqFt'!$I$18:$I$87=C58),'Project SqFt'!$L$18:$L$87)),LOOKUP(2,1/('Project SqFt'!$P$18:$P$78=B58)/('Project SqFt'!$Q$18:$Q$78=C58),'Project SqFt'!$T$18:$T$87))),"")</f>
        <v/>
      </c>
      <c r="E58" s="753"/>
      <c r="F58" s="753"/>
      <c r="G58" s="860"/>
      <c r="H58" s="1164"/>
      <c r="I58" s="861"/>
      <c r="J58" s="926" t="str">
        <f t="shared" si="0"/>
        <v/>
      </c>
      <c r="K58" s="926"/>
      <c r="L58" s="926"/>
      <c r="M58" s="29"/>
      <c r="N58" s="489"/>
      <c r="O58" s="29"/>
      <c r="P58" s="489"/>
      <c r="Q58" s="29"/>
      <c r="R58" s="29"/>
      <c r="S58" s="489"/>
      <c r="T58" s="147"/>
      <c r="U58" s="147" t="str">
        <f t="shared" si="1"/>
        <v/>
      </c>
      <c r="V58" s="147" t="str">
        <f t="shared" si="2"/>
        <v/>
      </c>
      <c r="W58" s="147" t="str">
        <f t="shared" si="3"/>
        <v/>
      </c>
    </row>
    <row r="59" spans="1:23" s="420" customFormat="1" x14ac:dyDescent="0.25">
      <c r="A59" s="147">
        <v>22</v>
      </c>
      <c r="B59" s="29"/>
      <c r="C59" s="29"/>
      <c r="D59" s="194" t="str" cm="1">
        <f t="array" ref="D59">IFERROR(IF(IFERROR(_xlfn.IFNA(LOOKUP(2,1/('Project SqFt'!$A$18:$A$87=B59)/('Project SqFt'!$B$18:$B$87=C59),'Project SqFt'!$D$18:$D$87),LOOKUP(2,1/('Project SqFt'!$H$18:$H$87=B59)/('Project SqFt'!$I$18:$I$87=C59),'Project SqFt'!$L$18:$L$87)),LOOKUP(2,1/('Project SqFt'!$P$18:$P$78=B59)/('Project SqFt'!$Q$18:$Q$78=C59),'Project SqFt'!$T$18:$T$87))="","",IFERROR(_xlfn.IFNA(LOOKUP(2,1/('Project SqFt'!$A$18:$A$87=B59)/('Project SqFt'!$B$18:$B$87=C59),'Project SqFt'!$D$18:$D$87),LOOKUP(2,1/('Project SqFt'!$H$18:$H$87=B59)/('Project SqFt'!$I$18:$I$87=C59),'Project SqFt'!$L$18:$L$87)),LOOKUP(2,1/('Project SqFt'!$P$18:$P$78=B59)/('Project SqFt'!$Q$18:$Q$78=C59),'Project SqFt'!$T$18:$T$87))),"")</f>
        <v/>
      </c>
      <c r="E59" s="753"/>
      <c r="F59" s="753"/>
      <c r="G59" s="860"/>
      <c r="H59" s="1164"/>
      <c r="I59" s="861"/>
      <c r="J59" s="926" t="str">
        <f t="shared" si="0"/>
        <v/>
      </c>
      <c r="K59" s="926"/>
      <c r="L59" s="926"/>
      <c r="M59" s="29"/>
      <c r="N59" s="489"/>
      <c r="O59" s="29"/>
      <c r="P59" s="489"/>
      <c r="Q59" s="29"/>
      <c r="R59" s="29"/>
      <c r="S59" s="489"/>
      <c r="T59" s="147"/>
      <c r="U59" s="147" t="str">
        <f t="shared" si="1"/>
        <v/>
      </c>
      <c r="V59" s="147" t="str">
        <f t="shared" si="2"/>
        <v/>
      </c>
      <c r="W59" s="147" t="str">
        <f t="shared" si="3"/>
        <v/>
      </c>
    </row>
    <row r="60" spans="1:23" x14ac:dyDescent="0.25">
      <c r="A60" s="147">
        <v>23</v>
      </c>
      <c r="B60" s="29"/>
      <c r="C60" s="29"/>
      <c r="D60" s="194" t="str" cm="1">
        <f t="array" ref="D60">IFERROR(IF(IFERROR(_xlfn.IFNA(LOOKUP(2,1/('Project SqFt'!$A$18:$A$87=B60)/('Project SqFt'!$B$18:$B$87=C60),'Project SqFt'!$D$18:$D$87),LOOKUP(2,1/('Project SqFt'!$H$18:$H$87=B60)/('Project SqFt'!$I$18:$I$87=C60),'Project SqFt'!$L$18:$L$87)),LOOKUP(2,1/('Project SqFt'!$P$18:$P$78=B60)/('Project SqFt'!$Q$18:$Q$78=C60),'Project SqFt'!$T$18:$T$87))="","",IFERROR(_xlfn.IFNA(LOOKUP(2,1/('Project SqFt'!$A$18:$A$87=B60)/('Project SqFt'!$B$18:$B$87=C60),'Project SqFt'!$D$18:$D$87),LOOKUP(2,1/('Project SqFt'!$H$18:$H$87=B60)/('Project SqFt'!$I$18:$I$87=C60),'Project SqFt'!$L$18:$L$87)),LOOKUP(2,1/('Project SqFt'!$P$18:$P$78=B60)/('Project SqFt'!$Q$18:$Q$78=C60),'Project SqFt'!$T$18:$T$87))),"")</f>
        <v/>
      </c>
      <c r="E60" s="753"/>
      <c r="F60" s="753"/>
      <c r="G60" s="860"/>
      <c r="H60" s="1164"/>
      <c r="I60" s="861"/>
      <c r="J60" s="926" t="str">
        <f t="shared" si="0"/>
        <v/>
      </c>
      <c r="K60" s="926"/>
      <c r="L60" s="926"/>
      <c r="M60" s="29"/>
      <c r="N60" s="489"/>
      <c r="O60" s="29"/>
      <c r="P60" s="489"/>
      <c r="Q60" s="29"/>
      <c r="R60" s="29"/>
      <c r="S60" s="489"/>
      <c r="T60" s="147"/>
      <c r="U60" s="147" t="str">
        <f t="shared" si="1"/>
        <v/>
      </c>
      <c r="V60" s="147" t="str">
        <f t="shared" si="2"/>
        <v/>
      </c>
      <c r="W60" s="147" t="str">
        <f t="shared" si="3"/>
        <v/>
      </c>
    </row>
    <row r="61" spans="1:23" x14ac:dyDescent="0.25">
      <c r="A61" s="147">
        <v>24</v>
      </c>
      <c r="B61" s="29"/>
      <c r="C61" s="29"/>
      <c r="D61" s="194" t="str" cm="1">
        <f t="array" ref="D61">IFERROR(IF(IFERROR(_xlfn.IFNA(LOOKUP(2,1/('Project SqFt'!$A$18:$A$87=B61)/('Project SqFt'!$B$18:$B$87=C61),'Project SqFt'!$D$18:$D$87),LOOKUP(2,1/('Project SqFt'!$H$18:$H$87=B61)/('Project SqFt'!$I$18:$I$87=C61),'Project SqFt'!$L$18:$L$87)),LOOKUP(2,1/('Project SqFt'!$P$18:$P$78=B61)/('Project SqFt'!$Q$18:$Q$78=C61),'Project SqFt'!$T$18:$T$87))="","",IFERROR(_xlfn.IFNA(LOOKUP(2,1/('Project SqFt'!$A$18:$A$87=B61)/('Project SqFt'!$B$18:$B$87=C61),'Project SqFt'!$D$18:$D$87),LOOKUP(2,1/('Project SqFt'!$H$18:$H$87=B61)/('Project SqFt'!$I$18:$I$87=C61),'Project SqFt'!$L$18:$L$87)),LOOKUP(2,1/('Project SqFt'!$P$18:$P$78=B61)/('Project SqFt'!$Q$18:$Q$78=C61),'Project SqFt'!$T$18:$T$87))),"")</f>
        <v/>
      </c>
      <c r="E61" s="753"/>
      <c r="F61" s="753"/>
      <c r="G61" s="860"/>
      <c r="H61" s="1164"/>
      <c r="I61" s="861"/>
      <c r="J61" s="926" t="str">
        <f t="shared" si="0"/>
        <v/>
      </c>
      <c r="K61" s="926"/>
      <c r="L61" s="926"/>
      <c r="M61" s="29"/>
      <c r="N61" s="489"/>
      <c r="O61" s="29"/>
      <c r="P61" s="489"/>
      <c r="Q61" s="29"/>
      <c r="R61" s="29"/>
      <c r="S61" s="489"/>
      <c r="T61" s="147"/>
      <c r="U61" s="147" t="str">
        <f t="shared" si="1"/>
        <v/>
      </c>
      <c r="V61" s="147" t="str">
        <f t="shared" si="2"/>
        <v/>
      </c>
      <c r="W61" s="147" t="str">
        <f t="shared" si="3"/>
        <v/>
      </c>
    </row>
    <row r="62" spans="1:23" x14ac:dyDescent="0.25">
      <c r="A62" s="147">
        <v>25</v>
      </c>
      <c r="B62" s="29"/>
      <c r="C62" s="29"/>
      <c r="D62" s="194" t="str" cm="1">
        <f t="array" ref="D62">IFERROR(IF(IFERROR(_xlfn.IFNA(LOOKUP(2,1/('Project SqFt'!$A$18:$A$87=B62)/('Project SqFt'!$B$18:$B$87=C62),'Project SqFt'!$D$18:$D$87),LOOKUP(2,1/('Project SqFt'!$H$18:$H$87=B62)/('Project SqFt'!$I$18:$I$87=C62),'Project SqFt'!$L$18:$L$87)),LOOKUP(2,1/('Project SqFt'!$P$18:$P$78=B62)/('Project SqFt'!$Q$18:$Q$78=C62),'Project SqFt'!$T$18:$T$87))="","",IFERROR(_xlfn.IFNA(LOOKUP(2,1/('Project SqFt'!$A$18:$A$87=B62)/('Project SqFt'!$B$18:$B$87=C62),'Project SqFt'!$D$18:$D$87),LOOKUP(2,1/('Project SqFt'!$H$18:$H$87=B62)/('Project SqFt'!$I$18:$I$87=C62),'Project SqFt'!$L$18:$L$87)),LOOKUP(2,1/('Project SqFt'!$P$18:$P$78=B62)/('Project SqFt'!$Q$18:$Q$78=C62),'Project SqFt'!$T$18:$T$87))),"")</f>
        <v/>
      </c>
      <c r="E62" s="753"/>
      <c r="F62" s="753"/>
      <c r="G62" s="860"/>
      <c r="H62" s="1164"/>
      <c r="I62" s="861"/>
      <c r="J62" s="926" t="str">
        <f t="shared" si="0"/>
        <v/>
      </c>
      <c r="K62" s="926"/>
      <c r="L62" s="926"/>
      <c r="M62" s="29"/>
      <c r="N62" s="489"/>
      <c r="O62" s="29"/>
      <c r="P62" s="489"/>
      <c r="Q62" s="29"/>
      <c r="R62" s="29"/>
      <c r="S62" s="489"/>
      <c r="T62" s="147"/>
      <c r="U62" s="147" t="str">
        <f t="shared" si="1"/>
        <v/>
      </c>
      <c r="V62" s="147" t="str">
        <f t="shared" si="2"/>
        <v/>
      </c>
      <c r="W62" s="147" t="str">
        <f t="shared" si="3"/>
        <v/>
      </c>
    </row>
    <row r="63" spans="1:23" x14ac:dyDescent="0.25">
      <c r="A63" s="147">
        <v>26</v>
      </c>
      <c r="B63" s="29"/>
      <c r="C63" s="29"/>
      <c r="D63" s="194" t="str" cm="1">
        <f t="array" ref="D63">IFERROR(IF(IFERROR(_xlfn.IFNA(LOOKUP(2,1/('Project SqFt'!$A$18:$A$87=B63)/('Project SqFt'!$B$18:$B$87=C63),'Project SqFt'!$D$18:$D$87),LOOKUP(2,1/('Project SqFt'!$H$18:$H$87=B63)/('Project SqFt'!$I$18:$I$87=C63),'Project SqFt'!$L$18:$L$87)),LOOKUP(2,1/('Project SqFt'!$P$18:$P$78=B63)/('Project SqFt'!$Q$18:$Q$78=C63),'Project SqFt'!$T$18:$T$87))="","",IFERROR(_xlfn.IFNA(LOOKUP(2,1/('Project SqFt'!$A$18:$A$87=B63)/('Project SqFt'!$B$18:$B$87=C63),'Project SqFt'!$D$18:$D$87),LOOKUP(2,1/('Project SqFt'!$H$18:$H$87=B63)/('Project SqFt'!$I$18:$I$87=C63),'Project SqFt'!$L$18:$L$87)),LOOKUP(2,1/('Project SqFt'!$P$18:$P$78=B63)/('Project SqFt'!$Q$18:$Q$78=C63),'Project SqFt'!$T$18:$T$87))),"")</f>
        <v/>
      </c>
      <c r="E63" s="753"/>
      <c r="F63" s="753"/>
      <c r="G63" s="860"/>
      <c r="H63" s="1164"/>
      <c r="I63" s="861"/>
      <c r="J63" s="926" t="str">
        <f t="shared" si="0"/>
        <v/>
      </c>
      <c r="K63" s="926"/>
      <c r="L63" s="926"/>
      <c r="M63" s="29"/>
      <c r="N63" s="489"/>
      <c r="O63" s="29"/>
      <c r="P63" s="489"/>
      <c r="Q63" s="29"/>
      <c r="R63" s="29"/>
      <c r="S63" s="489"/>
      <c r="T63" s="147"/>
      <c r="U63" s="147" t="str">
        <f t="shared" si="1"/>
        <v/>
      </c>
      <c r="V63" s="147" t="str">
        <f t="shared" si="2"/>
        <v/>
      </c>
      <c r="W63" s="147" t="str">
        <f t="shared" si="3"/>
        <v/>
      </c>
    </row>
    <row r="64" spans="1:23" x14ac:dyDescent="0.25">
      <c r="A64" s="147">
        <v>27</v>
      </c>
      <c r="B64" s="29"/>
      <c r="C64" s="29"/>
      <c r="D64" s="194" t="str" cm="1">
        <f t="array" ref="D64">IFERROR(IF(IFERROR(_xlfn.IFNA(LOOKUP(2,1/('Project SqFt'!$A$18:$A$87=B64)/('Project SqFt'!$B$18:$B$87=C64),'Project SqFt'!$D$18:$D$87),LOOKUP(2,1/('Project SqFt'!$H$18:$H$87=B64)/('Project SqFt'!$I$18:$I$87=C64),'Project SqFt'!$L$18:$L$87)),LOOKUP(2,1/('Project SqFt'!$P$18:$P$78=B64)/('Project SqFt'!$Q$18:$Q$78=C64),'Project SqFt'!$T$18:$T$87))="","",IFERROR(_xlfn.IFNA(LOOKUP(2,1/('Project SqFt'!$A$18:$A$87=B64)/('Project SqFt'!$B$18:$B$87=C64),'Project SqFt'!$D$18:$D$87),LOOKUP(2,1/('Project SqFt'!$H$18:$H$87=B64)/('Project SqFt'!$I$18:$I$87=C64),'Project SqFt'!$L$18:$L$87)),LOOKUP(2,1/('Project SqFt'!$P$18:$P$78=B64)/('Project SqFt'!$Q$18:$Q$78=C64),'Project SqFt'!$T$18:$T$87))),"")</f>
        <v/>
      </c>
      <c r="E64" s="753"/>
      <c r="F64" s="753"/>
      <c r="G64" s="860"/>
      <c r="H64" s="1164"/>
      <c r="I64" s="861"/>
      <c r="J64" s="926" t="str">
        <f t="shared" si="0"/>
        <v/>
      </c>
      <c r="K64" s="926"/>
      <c r="L64" s="926"/>
      <c r="M64" s="29"/>
      <c r="N64" s="489"/>
      <c r="O64" s="29"/>
      <c r="P64" s="489"/>
      <c r="Q64" s="29"/>
      <c r="R64" s="29"/>
      <c r="S64" s="489"/>
      <c r="T64" s="147"/>
      <c r="U64" s="147" t="str">
        <f t="shared" si="1"/>
        <v/>
      </c>
      <c r="V64" s="147" t="str">
        <f t="shared" si="2"/>
        <v/>
      </c>
      <c r="W64" s="147" t="str">
        <f t="shared" si="3"/>
        <v/>
      </c>
    </row>
    <row r="65" spans="1:34" x14ac:dyDescent="0.25">
      <c r="A65" s="147">
        <v>28</v>
      </c>
      <c r="B65" s="29"/>
      <c r="C65" s="29"/>
      <c r="D65" s="194" t="str" cm="1">
        <f t="array" ref="D65">IFERROR(IF(IFERROR(_xlfn.IFNA(LOOKUP(2,1/('Project SqFt'!$A$18:$A$87=B65)/('Project SqFt'!$B$18:$B$87=C65),'Project SqFt'!$D$18:$D$87),LOOKUP(2,1/('Project SqFt'!$H$18:$H$87=B65)/('Project SqFt'!$I$18:$I$87=C65),'Project SqFt'!$L$18:$L$87)),LOOKUP(2,1/('Project SqFt'!$P$18:$P$78=B65)/('Project SqFt'!$Q$18:$Q$78=C65),'Project SqFt'!$T$18:$T$87))="","",IFERROR(_xlfn.IFNA(LOOKUP(2,1/('Project SqFt'!$A$18:$A$87=B65)/('Project SqFt'!$B$18:$B$87=C65),'Project SqFt'!$D$18:$D$87),LOOKUP(2,1/('Project SqFt'!$H$18:$H$87=B65)/('Project SqFt'!$I$18:$I$87=C65),'Project SqFt'!$L$18:$L$87)),LOOKUP(2,1/('Project SqFt'!$P$18:$P$78=B65)/('Project SqFt'!$Q$18:$Q$78=C65),'Project SqFt'!$T$18:$T$87))),"")</f>
        <v/>
      </c>
      <c r="E65" s="753"/>
      <c r="F65" s="753"/>
      <c r="G65" s="860"/>
      <c r="H65" s="1164"/>
      <c r="I65" s="861"/>
      <c r="J65" s="926" t="str">
        <f t="shared" si="0"/>
        <v/>
      </c>
      <c r="K65" s="926"/>
      <c r="L65" s="926"/>
      <c r="M65" s="29"/>
      <c r="N65" s="489"/>
      <c r="O65" s="29"/>
      <c r="P65" s="489"/>
      <c r="Q65" s="29"/>
      <c r="R65" s="29"/>
      <c r="S65" s="489"/>
      <c r="T65" s="147"/>
      <c r="U65" s="147" t="str">
        <f t="shared" si="1"/>
        <v/>
      </c>
      <c r="V65" s="147" t="str">
        <f t="shared" si="2"/>
        <v/>
      </c>
      <c r="W65" s="147" t="str">
        <f t="shared" si="3"/>
        <v/>
      </c>
    </row>
    <row r="66" spans="1:34" x14ac:dyDescent="0.25">
      <c r="A66" s="147">
        <v>29</v>
      </c>
      <c r="B66" s="29"/>
      <c r="C66" s="29"/>
      <c r="D66" s="194" t="str" cm="1">
        <f t="array" ref="D66">IFERROR(IF(IFERROR(_xlfn.IFNA(LOOKUP(2,1/('Project SqFt'!$A$18:$A$87=B66)/('Project SqFt'!$B$18:$B$87=C66),'Project SqFt'!$D$18:$D$87),LOOKUP(2,1/('Project SqFt'!$H$18:$H$87=B66)/('Project SqFt'!$I$18:$I$87=C66),'Project SqFt'!$L$18:$L$87)),LOOKUP(2,1/('Project SqFt'!$P$18:$P$78=B66)/('Project SqFt'!$Q$18:$Q$78=C66),'Project SqFt'!$T$18:$T$87))="","",IFERROR(_xlfn.IFNA(LOOKUP(2,1/('Project SqFt'!$A$18:$A$87=B66)/('Project SqFt'!$B$18:$B$87=C66),'Project SqFt'!$D$18:$D$87),LOOKUP(2,1/('Project SqFt'!$H$18:$H$87=B66)/('Project SqFt'!$I$18:$I$87=C66),'Project SqFt'!$L$18:$L$87)),LOOKUP(2,1/('Project SqFt'!$P$18:$P$78=B66)/('Project SqFt'!$Q$18:$Q$78=C66),'Project SqFt'!$T$18:$T$87))),"")</f>
        <v/>
      </c>
      <c r="E66" s="753"/>
      <c r="F66" s="753"/>
      <c r="G66" s="860"/>
      <c r="H66" s="1164"/>
      <c r="I66" s="861"/>
      <c r="J66" s="926" t="str">
        <f t="shared" si="0"/>
        <v/>
      </c>
      <c r="K66" s="926"/>
      <c r="L66" s="926"/>
      <c r="M66" s="29"/>
      <c r="N66" s="489"/>
      <c r="O66" s="29"/>
      <c r="P66" s="489"/>
      <c r="Q66" s="29"/>
      <c r="R66" s="29"/>
      <c r="S66" s="489"/>
      <c r="T66" s="147"/>
      <c r="U66" s="147" t="str">
        <f t="shared" si="1"/>
        <v/>
      </c>
      <c r="V66" s="147" t="str">
        <f t="shared" si="2"/>
        <v/>
      </c>
      <c r="W66" s="147" t="str">
        <f t="shared" si="3"/>
        <v/>
      </c>
    </row>
    <row r="67" spans="1:34" x14ac:dyDescent="0.25">
      <c r="A67" s="147">
        <v>30</v>
      </c>
      <c r="B67" s="29"/>
      <c r="C67" s="29"/>
      <c r="D67" s="194" t="str" cm="1">
        <f t="array" ref="D67">IFERROR(IF(IFERROR(_xlfn.IFNA(LOOKUP(2,1/('Project SqFt'!$A$18:$A$87=B67)/('Project SqFt'!$B$18:$B$87=C67),'Project SqFt'!$D$18:$D$87),LOOKUP(2,1/('Project SqFt'!$H$18:$H$87=B67)/('Project SqFt'!$I$18:$I$87=C67),'Project SqFt'!$L$18:$L$87)),LOOKUP(2,1/('Project SqFt'!$P$18:$P$78=B67)/('Project SqFt'!$Q$18:$Q$78=C67),'Project SqFt'!$T$18:$T$87))="","",IFERROR(_xlfn.IFNA(LOOKUP(2,1/('Project SqFt'!$A$18:$A$87=B67)/('Project SqFt'!$B$18:$B$87=C67),'Project SqFt'!$D$18:$D$87),LOOKUP(2,1/('Project SqFt'!$H$18:$H$87=B67)/('Project SqFt'!$I$18:$I$87=C67),'Project SqFt'!$L$18:$L$87)),LOOKUP(2,1/('Project SqFt'!$P$18:$P$78=B67)/('Project SqFt'!$Q$18:$Q$78=C67),'Project SqFt'!$T$18:$T$87))),"")</f>
        <v/>
      </c>
      <c r="E67" s="753"/>
      <c r="F67" s="753"/>
      <c r="G67" s="860"/>
      <c r="H67" s="1164"/>
      <c r="I67" s="861"/>
      <c r="J67" s="926" t="str">
        <f t="shared" si="0"/>
        <v/>
      </c>
      <c r="K67" s="926"/>
      <c r="L67" s="926"/>
      <c r="M67" s="29"/>
      <c r="N67" s="489"/>
      <c r="O67" s="29"/>
      <c r="P67" s="489"/>
      <c r="Q67" s="29"/>
      <c r="R67" s="29"/>
      <c r="S67" s="489"/>
      <c r="T67" s="147"/>
      <c r="U67" s="147" t="str">
        <f t="shared" si="1"/>
        <v/>
      </c>
      <c r="V67" s="147" t="str">
        <f t="shared" si="2"/>
        <v/>
      </c>
      <c r="W67" s="147" t="str">
        <f t="shared" si="3"/>
        <v/>
      </c>
    </row>
    <row r="68" spans="1:34" x14ac:dyDescent="0.25">
      <c r="A68" s="147">
        <v>31</v>
      </c>
      <c r="B68" s="29"/>
      <c r="C68" s="29"/>
      <c r="D68" s="194" t="str" cm="1">
        <f t="array" ref="D68">IFERROR(IF(IFERROR(_xlfn.IFNA(LOOKUP(2,1/('Project SqFt'!$A$18:$A$87=B68)/('Project SqFt'!$B$18:$B$87=C68),'Project SqFt'!$D$18:$D$87),LOOKUP(2,1/('Project SqFt'!$H$18:$H$87=B68)/('Project SqFt'!$I$18:$I$87=C68),'Project SqFt'!$L$18:$L$87)),LOOKUP(2,1/('Project SqFt'!$P$18:$P$78=B68)/('Project SqFt'!$Q$18:$Q$78=C68),'Project SqFt'!$T$18:$T$87))="","",IFERROR(_xlfn.IFNA(LOOKUP(2,1/('Project SqFt'!$A$18:$A$87=B68)/('Project SqFt'!$B$18:$B$87=C68),'Project SqFt'!$D$18:$D$87),LOOKUP(2,1/('Project SqFt'!$H$18:$H$87=B68)/('Project SqFt'!$I$18:$I$87=C68),'Project SqFt'!$L$18:$L$87)),LOOKUP(2,1/('Project SqFt'!$P$18:$P$78=B68)/('Project SqFt'!$Q$18:$Q$78=C68),'Project SqFt'!$T$18:$T$87))),"")</f>
        <v/>
      </c>
      <c r="E68" s="753"/>
      <c r="F68" s="753"/>
      <c r="G68" s="860"/>
      <c r="H68" s="1164"/>
      <c r="I68" s="861"/>
      <c r="J68" s="926" t="str">
        <f t="shared" si="0"/>
        <v/>
      </c>
      <c r="K68" s="926"/>
      <c r="L68" s="926"/>
      <c r="M68" s="29"/>
      <c r="N68" s="489"/>
      <c r="O68" s="29"/>
      <c r="P68" s="489"/>
      <c r="Q68" s="29"/>
      <c r="R68" s="29"/>
      <c r="S68" s="489"/>
      <c r="T68" s="147"/>
      <c r="U68" s="147" t="str">
        <f t="shared" si="1"/>
        <v/>
      </c>
      <c r="V68" s="147" t="str">
        <f t="shared" si="2"/>
        <v/>
      </c>
      <c r="W68" s="147" t="str">
        <f t="shared" si="3"/>
        <v/>
      </c>
    </row>
    <row r="69" spans="1:34" x14ac:dyDescent="0.25">
      <c r="A69" s="147">
        <v>32</v>
      </c>
      <c r="B69" s="29"/>
      <c r="C69" s="29"/>
      <c r="D69" s="194" t="str" cm="1">
        <f t="array" ref="D69">IFERROR(IF(IFERROR(_xlfn.IFNA(LOOKUP(2,1/('Project SqFt'!$A$18:$A$87=B69)/('Project SqFt'!$B$18:$B$87=C69),'Project SqFt'!$D$18:$D$87),LOOKUP(2,1/('Project SqFt'!$H$18:$H$87=B69)/('Project SqFt'!$I$18:$I$87=C69),'Project SqFt'!$L$18:$L$87)),LOOKUP(2,1/('Project SqFt'!$P$18:$P$78=B69)/('Project SqFt'!$Q$18:$Q$78=C69),'Project SqFt'!$T$18:$T$87))="","",IFERROR(_xlfn.IFNA(LOOKUP(2,1/('Project SqFt'!$A$18:$A$87=B69)/('Project SqFt'!$B$18:$B$87=C69),'Project SqFt'!$D$18:$D$87),LOOKUP(2,1/('Project SqFt'!$H$18:$H$87=B69)/('Project SqFt'!$I$18:$I$87=C69),'Project SqFt'!$L$18:$L$87)),LOOKUP(2,1/('Project SqFt'!$P$18:$P$78=B69)/('Project SqFt'!$Q$18:$Q$78=C69),'Project SqFt'!$T$18:$T$87))),"")</f>
        <v/>
      </c>
      <c r="E69" s="753"/>
      <c r="F69" s="753"/>
      <c r="G69" s="860"/>
      <c r="H69" s="1164"/>
      <c r="I69" s="861"/>
      <c r="J69" s="926" t="str">
        <f t="shared" si="0"/>
        <v/>
      </c>
      <c r="K69" s="926"/>
      <c r="L69" s="926"/>
      <c r="M69" s="29"/>
      <c r="N69" s="489"/>
      <c r="O69" s="29"/>
      <c r="P69" s="489"/>
      <c r="Q69" s="29"/>
      <c r="R69" s="29"/>
      <c r="S69" s="489"/>
      <c r="T69" s="147"/>
      <c r="U69" s="147" t="str">
        <f t="shared" si="1"/>
        <v/>
      </c>
      <c r="V69" s="147" t="str">
        <f t="shared" si="2"/>
        <v/>
      </c>
      <c r="W69" s="147" t="str">
        <f t="shared" si="3"/>
        <v/>
      </c>
    </row>
    <row r="70" spans="1:34" x14ac:dyDescent="0.25">
      <c r="A70" s="147">
        <v>33</v>
      </c>
      <c r="B70" s="29"/>
      <c r="C70" s="29"/>
      <c r="D70" s="194" t="str" cm="1">
        <f t="array" ref="D70">IFERROR(IF(IFERROR(_xlfn.IFNA(LOOKUP(2,1/('Project SqFt'!$A$18:$A$87=B70)/('Project SqFt'!$B$18:$B$87=C70),'Project SqFt'!$D$18:$D$87),LOOKUP(2,1/('Project SqFt'!$H$18:$H$87=B70)/('Project SqFt'!$I$18:$I$87=C70),'Project SqFt'!$L$18:$L$87)),LOOKUP(2,1/('Project SqFt'!$P$18:$P$78=B70)/('Project SqFt'!$Q$18:$Q$78=C70),'Project SqFt'!$T$18:$T$87))="","",IFERROR(_xlfn.IFNA(LOOKUP(2,1/('Project SqFt'!$A$18:$A$87=B70)/('Project SqFt'!$B$18:$B$87=C70),'Project SqFt'!$D$18:$D$87),LOOKUP(2,1/('Project SqFt'!$H$18:$H$87=B70)/('Project SqFt'!$I$18:$I$87=C70),'Project SqFt'!$L$18:$L$87)),LOOKUP(2,1/('Project SqFt'!$P$18:$P$78=B70)/('Project SqFt'!$Q$18:$Q$78=C70),'Project SqFt'!$T$18:$T$87))),"")</f>
        <v/>
      </c>
      <c r="E70" s="753"/>
      <c r="F70" s="753"/>
      <c r="G70" s="860"/>
      <c r="H70" s="1164"/>
      <c r="I70" s="861"/>
      <c r="J70" s="926" t="str">
        <f t="shared" si="0"/>
        <v/>
      </c>
      <c r="K70" s="926"/>
      <c r="L70" s="926"/>
      <c r="M70" s="29"/>
      <c r="N70" s="489"/>
      <c r="O70" s="29"/>
      <c r="P70" s="489"/>
      <c r="Q70" s="29"/>
      <c r="R70" s="29"/>
      <c r="S70" s="489"/>
      <c r="T70" s="147"/>
      <c r="U70" s="147" t="str">
        <f t="shared" si="1"/>
        <v/>
      </c>
      <c r="V70" s="147" t="str">
        <f t="shared" si="2"/>
        <v/>
      </c>
      <c r="W70" s="147" t="str">
        <f t="shared" si="3"/>
        <v/>
      </c>
    </row>
    <row r="71" spans="1:34" x14ac:dyDescent="0.25">
      <c r="A71" s="147">
        <v>34</v>
      </c>
      <c r="B71" s="29"/>
      <c r="C71" s="29"/>
      <c r="D71" s="194" t="str" cm="1">
        <f t="array" ref="D71">IFERROR(IF(IFERROR(_xlfn.IFNA(LOOKUP(2,1/('Project SqFt'!$A$18:$A$87=B71)/('Project SqFt'!$B$18:$B$87=C71),'Project SqFt'!$D$18:$D$87),LOOKUP(2,1/('Project SqFt'!$H$18:$H$87=B71)/('Project SqFt'!$I$18:$I$87=C71),'Project SqFt'!$L$18:$L$87)),LOOKUP(2,1/('Project SqFt'!$P$18:$P$78=B71)/('Project SqFt'!$Q$18:$Q$78=C71),'Project SqFt'!$T$18:$T$87))="","",IFERROR(_xlfn.IFNA(LOOKUP(2,1/('Project SqFt'!$A$18:$A$87=B71)/('Project SqFt'!$B$18:$B$87=C71),'Project SqFt'!$D$18:$D$87),LOOKUP(2,1/('Project SqFt'!$H$18:$H$87=B71)/('Project SqFt'!$I$18:$I$87=C71),'Project SqFt'!$L$18:$L$87)),LOOKUP(2,1/('Project SqFt'!$P$18:$P$78=B71)/('Project SqFt'!$Q$18:$Q$78=C71),'Project SqFt'!$T$18:$T$87))),"")</f>
        <v/>
      </c>
      <c r="E71" s="753"/>
      <c r="F71" s="753"/>
      <c r="G71" s="860"/>
      <c r="H71" s="1164"/>
      <c r="I71" s="861"/>
      <c r="J71" s="926" t="str">
        <f t="shared" si="0"/>
        <v/>
      </c>
      <c r="K71" s="926"/>
      <c r="L71" s="926"/>
      <c r="M71" s="29"/>
      <c r="N71" s="489"/>
      <c r="O71" s="29"/>
      <c r="P71" s="489"/>
      <c r="Q71" s="29"/>
      <c r="R71" s="29"/>
      <c r="S71" s="489"/>
      <c r="T71" s="147"/>
      <c r="U71" s="147" t="str">
        <f t="shared" si="1"/>
        <v/>
      </c>
      <c r="V71" s="147" t="str">
        <f t="shared" si="2"/>
        <v/>
      </c>
      <c r="W71" s="147" t="str">
        <f t="shared" si="3"/>
        <v/>
      </c>
    </row>
    <row r="72" spans="1:34" x14ac:dyDescent="0.25">
      <c r="A72" s="147">
        <v>35</v>
      </c>
      <c r="B72" s="29"/>
      <c r="C72" s="29"/>
      <c r="D72" s="194" t="str" cm="1">
        <f t="array" ref="D72">IFERROR(IF(IFERROR(_xlfn.IFNA(LOOKUP(2,1/('Project SqFt'!$A$18:$A$87=B72)/('Project SqFt'!$B$18:$B$87=C72),'Project SqFt'!$D$18:$D$87),LOOKUP(2,1/('Project SqFt'!$H$18:$H$87=B72)/('Project SqFt'!$I$18:$I$87=C72),'Project SqFt'!$L$18:$L$87)),LOOKUP(2,1/('Project SqFt'!$P$18:$P$78=B72)/('Project SqFt'!$Q$18:$Q$78=C72),'Project SqFt'!$T$18:$T$87))="","",IFERROR(_xlfn.IFNA(LOOKUP(2,1/('Project SqFt'!$A$18:$A$87=B72)/('Project SqFt'!$B$18:$B$87=C72),'Project SqFt'!$D$18:$D$87),LOOKUP(2,1/('Project SqFt'!$H$18:$H$87=B72)/('Project SqFt'!$I$18:$I$87=C72),'Project SqFt'!$L$18:$L$87)),LOOKUP(2,1/('Project SqFt'!$P$18:$P$78=B72)/('Project SqFt'!$Q$18:$Q$78=C72),'Project SqFt'!$T$18:$T$87))),"")</f>
        <v/>
      </c>
      <c r="E72" s="753"/>
      <c r="F72" s="753"/>
      <c r="G72" s="860"/>
      <c r="H72" s="1164"/>
      <c r="I72" s="861"/>
      <c r="J72" s="926" t="str">
        <f t="shared" si="0"/>
        <v/>
      </c>
      <c r="K72" s="926"/>
      <c r="L72" s="926"/>
      <c r="M72" s="29"/>
      <c r="N72" s="489"/>
      <c r="O72" s="29"/>
      <c r="P72" s="489"/>
      <c r="Q72" s="29"/>
      <c r="R72" s="29"/>
      <c r="S72" s="489"/>
      <c r="T72" s="147"/>
      <c r="U72" s="147" t="str">
        <f t="shared" si="1"/>
        <v/>
      </c>
      <c r="V72" s="147" t="str">
        <f t="shared" si="2"/>
        <v/>
      </c>
      <c r="W72" s="147" t="str">
        <f t="shared" si="3"/>
        <v/>
      </c>
    </row>
    <row r="73" spans="1:34" x14ac:dyDescent="0.25">
      <c r="A73" s="147">
        <v>36</v>
      </c>
      <c r="B73" s="29"/>
      <c r="C73" s="29"/>
      <c r="D73" s="194" t="str" cm="1">
        <f t="array" ref="D73">IFERROR(IF(IFERROR(_xlfn.IFNA(LOOKUP(2,1/('Project SqFt'!$A$18:$A$87=B73)/('Project SqFt'!$B$18:$B$87=C73),'Project SqFt'!$D$18:$D$87),LOOKUP(2,1/('Project SqFt'!$H$18:$H$87=B73)/('Project SqFt'!$I$18:$I$87=C73),'Project SqFt'!$L$18:$L$87)),LOOKUP(2,1/('Project SqFt'!$P$18:$P$78=B73)/('Project SqFt'!$Q$18:$Q$78=C73),'Project SqFt'!$T$18:$T$87))="","",IFERROR(_xlfn.IFNA(LOOKUP(2,1/('Project SqFt'!$A$18:$A$87=B73)/('Project SqFt'!$B$18:$B$87=C73),'Project SqFt'!$D$18:$D$87),LOOKUP(2,1/('Project SqFt'!$H$18:$H$87=B73)/('Project SqFt'!$I$18:$I$87=C73),'Project SqFt'!$L$18:$L$87)),LOOKUP(2,1/('Project SqFt'!$P$18:$P$78=B73)/('Project SqFt'!$Q$18:$Q$78=C73),'Project SqFt'!$T$18:$T$87))),"")</f>
        <v/>
      </c>
      <c r="E73" s="753"/>
      <c r="F73" s="753"/>
      <c r="G73" s="860"/>
      <c r="H73" s="1164"/>
      <c r="I73" s="861"/>
      <c r="J73" s="926" t="str">
        <f t="shared" si="0"/>
        <v/>
      </c>
      <c r="K73" s="926"/>
      <c r="L73" s="926"/>
      <c r="M73" s="29"/>
      <c r="N73" s="489"/>
      <c r="O73" s="29"/>
      <c r="P73" s="489"/>
      <c r="Q73" s="29"/>
      <c r="R73" s="29"/>
      <c r="S73" s="489"/>
      <c r="T73" s="147"/>
      <c r="U73" s="147" t="str">
        <f t="shared" si="1"/>
        <v/>
      </c>
      <c r="V73" s="147" t="str">
        <f t="shared" si="2"/>
        <v/>
      </c>
      <c r="W73" s="147" t="str">
        <f t="shared" si="3"/>
        <v/>
      </c>
    </row>
    <row r="74" spans="1:34" x14ac:dyDescent="0.25">
      <c r="A74" s="147">
        <v>37</v>
      </c>
      <c r="B74" s="29"/>
      <c r="C74" s="29"/>
      <c r="D74" s="194" t="str" cm="1">
        <f t="array" ref="D74">IFERROR(IF(IFERROR(_xlfn.IFNA(LOOKUP(2,1/('Project SqFt'!$A$18:$A$87=B74)/('Project SqFt'!$B$18:$B$87=C74),'Project SqFt'!$D$18:$D$87),LOOKUP(2,1/('Project SqFt'!$H$18:$H$87=B74)/('Project SqFt'!$I$18:$I$87=C74),'Project SqFt'!$L$18:$L$87)),LOOKUP(2,1/('Project SqFt'!$P$18:$P$78=B74)/('Project SqFt'!$Q$18:$Q$78=C74),'Project SqFt'!$T$18:$T$87))="","",IFERROR(_xlfn.IFNA(LOOKUP(2,1/('Project SqFt'!$A$18:$A$87=B74)/('Project SqFt'!$B$18:$B$87=C74),'Project SqFt'!$D$18:$D$87),LOOKUP(2,1/('Project SqFt'!$H$18:$H$87=B74)/('Project SqFt'!$I$18:$I$87=C74),'Project SqFt'!$L$18:$L$87)),LOOKUP(2,1/('Project SqFt'!$P$18:$P$78=B74)/('Project SqFt'!$Q$18:$Q$78=C74),'Project SqFt'!$T$18:$T$87))),"")</f>
        <v/>
      </c>
      <c r="E74" s="753"/>
      <c r="F74" s="753"/>
      <c r="G74" s="860"/>
      <c r="H74" s="1164"/>
      <c r="I74" s="861"/>
      <c r="J74" s="926" t="str">
        <f t="shared" si="0"/>
        <v/>
      </c>
      <c r="K74" s="926"/>
      <c r="L74" s="926"/>
      <c r="M74" s="29"/>
      <c r="N74" s="489"/>
      <c r="O74" s="29"/>
      <c r="P74" s="489"/>
      <c r="Q74" s="29"/>
      <c r="R74" s="29"/>
      <c r="S74" s="489"/>
      <c r="T74" s="147"/>
      <c r="U74" s="147" t="str">
        <f t="shared" si="1"/>
        <v/>
      </c>
      <c r="V74" s="147" t="str">
        <f t="shared" si="2"/>
        <v/>
      </c>
      <c r="W74" s="147" t="str">
        <f t="shared" si="3"/>
        <v/>
      </c>
    </row>
    <row r="75" spans="1:34" x14ac:dyDescent="0.25">
      <c r="A75" s="147">
        <v>38</v>
      </c>
      <c r="B75" s="29"/>
      <c r="C75" s="29"/>
      <c r="D75" s="194" t="str" cm="1">
        <f t="array" ref="D75">IFERROR(IF(IFERROR(_xlfn.IFNA(LOOKUP(2,1/('Project SqFt'!$A$18:$A$87=B75)/('Project SqFt'!$B$18:$B$87=C75),'Project SqFt'!$D$18:$D$87),LOOKUP(2,1/('Project SqFt'!$H$18:$H$87=B75)/('Project SqFt'!$I$18:$I$87=C75),'Project SqFt'!$L$18:$L$87)),LOOKUP(2,1/('Project SqFt'!$P$18:$P$78=B75)/('Project SqFt'!$Q$18:$Q$78=C75),'Project SqFt'!$T$18:$T$87))="","",IFERROR(_xlfn.IFNA(LOOKUP(2,1/('Project SqFt'!$A$18:$A$87=B75)/('Project SqFt'!$B$18:$B$87=C75),'Project SqFt'!$D$18:$D$87),LOOKUP(2,1/('Project SqFt'!$H$18:$H$87=B75)/('Project SqFt'!$I$18:$I$87=C75),'Project SqFt'!$L$18:$L$87)),LOOKUP(2,1/('Project SqFt'!$P$18:$P$78=B75)/('Project SqFt'!$Q$18:$Q$78=C75),'Project SqFt'!$T$18:$T$87))),"")</f>
        <v/>
      </c>
      <c r="E75" s="753"/>
      <c r="F75" s="753"/>
      <c r="G75" s="860"/>
      <c r="H75" s="1164"/>
      <c r="I75" s="861"/>
      <c r="J75" s="926" t="str">
        <f t="shared" si="0"/>
        <v/>
      </c>
      <c r="K75" s="926"/>
      <c r="L75" s="926"/>
      <c r="M75" s="29"/>
      <c r="N75" s="489"/>
      <c r="O75" s="29"/>
      <c r="P75" s="489"/>
      <c r="Q75" s="29"/>
      <c r="R75" s="29"/>
      <c r="S75" s="489"/>
      <c r="T75" s="147"/>
      <c r="U75" s="147" t="str">
        <f t="shared" si="1"/>
        <v/>
      </c>
      <c r="V75" s="147" t="str">
        <f t="shared" si="2"/>
        <v/>
      </c>
      <c r="W75" s="147" t="str">
        <f t="shared" si="3"/>
        <v/>
      </c>
    </row>
    <row r="76" spans="1:34" x14ac:dyDescent="0.25">
      <c r="A76" s="147">
        <v>39</v>
      </c>
      <c r="B76" s="29"/>
      <c r="C76" s="29"/>
      <c r="D76" s="194" t="str" cm="1">
        <f t="array" ref="D76">IFERROR(IF(IFERROR(_xlfn.IFNA(LOOKUP(2,1/('Project SqFt'!$A$18:$A$87=B76)/('Project SqFt'!$B$18:$B$87=C76),'Project SqFt'!$D$18:$D$87),LOOKUP(2,1/('Project SqFt'!$H$18:$H$87=B76)/('Project SqFt'!$I$18:$I$87=C76),'Project SqFt'!$L$18:$L$87)),LOOKUP(2,1/('Project SqFt'!$P$18:$P$78=B76)/('Project SqFt'!$Q$18:$Q$78=C76),'Project SqFt'!$T$18:$T$87))="","",IFERROR(_xlfn.IFNA(LOOKUP(2,1/('Project SqFt'!$A$18:$A$87=B76)/('Project SqFt'!$B$18:$B$87=C76),'Project SqFt'!$D$18:$D$87),LOOKUP(2,1/('Project SqFt'!$H$18:$H$87=B76)/('Project SqFt'!$I$18:$I$87=C76),'Project SqFt'!$L$18:$L$87)),LOOKUP(2,1/('Project SqFt'!$P$18:$P$78=B76)/('Project SqFt'!$Q$18:$Q$78=C76),'Project SqFt'!$T$18:$T$87))),"")</f>
        <v/>
      </c>
      <c r="E76" s="753"/>
      <c r="F76" s="753"/>
      <c r="G76" s="860"/>
      <c r="H76" s="1164"/>
      <c r="I76" s="861"/>
      <c r="J76" s="926" t="str">
        <f t="shared" si="0"/>
        <v/>
      </c>
      <c r="K76" s="926"/>
      <c r="L76" s="926"/>
      <c r="M76" s="29"/>
      <c r="N76" s="489"/>
      <c r="O76" s="29"/>
      <c r="P76" s="489"/>
      <c r="Q76" s="29"/>
      <c r="R76" s="29"/>
      <c r="S76" s="489"/>
      <c r="T76" s="147"/>
      <c r="U76" s="147" t="str">
        <f t="shared" si="1"/>
        <v/>
      </c>
      <c r="V76" s="147" t="str">
        <f t="shared" si="2"/>
        <v/>
      </c>
      <c r="W76" s="147" t="str">
        <f t="shared" si="3"/>
        <v/>
      </c>
    </row>
    <row r="77" spans="1:34" x14ac:dyDescent="0.25">
      <c r="A77" s="147">
        <v>40</v>
      </c>
      <c r="B77" s="29"/>
      <c r="C77" s="29"/>
      <c r="D77" s="194" t="str" cm="1">
        <f t="array" ref="D77">IFERROR(IF(IFERROR(_xlfn.IFNA(LOOKUP(2,1/('Project SqFt'!$A$18:$A$87=B77)/('Project SqFt'!$B$18:$B$87=C77),'Project SqFt'!$D$18:$D$87),LOOKUP(2,1/('Project SqFt'!$H$18:$H$87=B77)/('Project SqFt'!$I$18:$I$87=C77),'Project SqFt'!$L$18:$L$87)),LOOKUP(2,1/('Project SqFt'!$P$18:$P$78=B77)/('Project SqFt'!$Q$18:$Q$78=C77),'Project SqFt'!$T$18:$T$87))="","",IFERROR(_xlfn.IFNA(LOOKUP(2,1/('Project SqFt'!$A$18:$A$87=B77)/('Project SqFt'!$B$18:$B$87=C77),'Project SqFt'!$D$18:$D$87),LOOKUP(2,1/('Project SqFt'!$H$18:$H$87=B77)/('Project SqFt'!$I$18:$I$87=C77),'Project SqFt'!$L$18:$L$87)),LOOKUP(2,1/('Project SqFt'!$P$18:$P$78=B77)/('Project SqFt'!$Q$18:$Q$78=C77),'Project SqFt'!$T$18:$T$87))),"")</f>
        <v/>
      </c>
      <c r="E77" s="753"/>
      <c r="F77" s="753"/>
      <c r="G77" s="860"/>
      <c r="H77" s="1164"/>
      <c r="I77" s="861"/>
      <c r="J77" s="926" t="str">
        <f t="shared" si="0"/>
        <v/>
      </c>
      <c r="K77" s="926"/>
      <c r="L77" s="926"/>
      <c r="M77" s="29"/>
      <c r="N77" s="489"/>
      <c r="O77" s="29"/>
      <c r="P77" s="489"/>
      <c r="Q77" s="29"/>
      <c r="R77" s="29"/>
      <c r="S77" s="489"/>
      <c r="T77" s="147"/>
      <c r="U77" s="147" t="str">
        <f t="shared" si="1"/>
        <v/>
      </c>
      <c r="V77" s="147" t="str">
        <f t="shared" si="2"/>
        <v/>
      </c>
      <c r="W77" s="147" t="str">
        <f t="shared" si="3"/>
        <v/>
      </c>
    </row>
    <row r="78" spans="1:34" x14ac:dyDescent="0.25">
      <c r="A78" s="646"/>
      <c r="B78" s="646"/>
      <c r="C78" s="646"/>
      <c r="D78" s="646"/>
      <c r="E78" s="646"/>
      <c r="F78" s="646"/>
      <c r="G78" s="646"/>
      <c r="H78" s="646"/>
      <c r="I78" s="646"/>
      <c r="J78" s="646"/>
      <c r="K78" s="646"/>
      <c r="L78" s="646"/>
      <c r="M78" s="646"/>
      <c r="N78" s="646"/>
      <c r="O78" s="646"/>
      <c r="P78" s="646"/>
      <c r="Q78" s="646"/>
      <c r="R78" s="646"/>
      <c r="S78" s="646"/>
    </row>
    <row r="79" spans="1:34" ht="18.75" hidden="1" x14ac:dyDescent="0.3">
      <c r="A79" s="805" t="s">
        <v>939</v>
      </c>
      <c r="B79" s="805"/>
      <c r="C79" s="805"/>
      <c r="D79" s="805"/>
      <c r="E79" s="805"/>
      <c r="F79" s="805"/>
      <c r="G79" s="805"/>
      <c r="H79" s="805"/>
      <c r="I79" s="805"/>
      <c r="J79" s="805"/>
      <c r="K79" s="805"/>
      <c r="L79" s="805"/>
      <c r="M79" s="805"/>
      <c r="N79" s="805"/>
      <c r="O79" s="805"/>
      <c r="P79" s="805"/>
      <c r="Q79" s="805"/>
      <c r="R79" s="805"/>
      <c r="S79" s="805"/>
    </row>
    <row r="80" spans="1:34" ht="30" hidden="1" customHeight="1" x14ac:dyDescent="0.25">
      <c r="A80" s="495"/>
      <c r="B80" s="507" t="s">
        <v>38</v>
      </c>
      <c r="C80" s="507" t="s">
        <v>371</v>
      </c>
      <c r="D80" s="507" t="s">
        <v>40</v>
      </c>
      <c r="E80" s="1156" t="s">
        <v>945</v>
      </c>
      <c r="F80" s="1156"/>
      <c r="G80" s="1157" t="s">
        <v>946</v>
      </c>
      <c r="H80" s="1158"/>
      <c r="I80" s="1159"/>
      <c r="J80" s="1156" t="s">
        <v>903</v>
      </c>
      <c r="K80" s="1156"/>
      <c r="L80" s="1156"/>
      <c r="M80" s="507" t="s">
        <v>904</v>
      </c>
      <c r="N80" s="507" t="s">
        <v>905</v>
      </c>
      <c r="O80" s="507" t="s">
        <v>916</v>
      </c>
      <c r="P80" s="507" t="s">
        <v>918</v>
      </c>
      <c r="Q80" s="507" t="s">
        <v>1040</v>
      </c>
      <c r="R80" s="507" t="s">
        <v>1041</v>
      </c>
      <c r="S80" s="507" t="s">
        <v>932</v>
      </c>
      <c r="U80" s="530" t="s">
        <v>959</v>
      </c>
      <c r="V80" s="530" t="s">
        <v>960</v>
      </c>
      <c r="W80" s="147" t="s">
        <v>691</v>
      </c>
      <c r="AH80" s="147"/>
    </row>
    <row r="81" spans="1:30" hidden="1" x14ac:dyDescent="0.25">
      <c r="A81" s="147">
        <v>41</v>
      </c>
      <c r="B81" s="29"/>
      <c r="C81" s="29"/>
      <c r="D81" s="194" t="str" cm="1">
        <f t="array" ref="D81">IFERROR(IF(IFERROR(_xlfn.IFNA(LOOKUP(2,1/('Project SqFt'!$A$18:$A$87=B81)/('Project SqFt'!$B$18:$B$87=C81),'Project SqFt'!$D$18:$D$87),LOOKUP(2,1/('Project SqFt'!$H$18:$H$87=B81)/('Project SqFt'!$I$18:$I$87=C81),'Project SqFt'!$L$18:$L$87)),LOOKUP(2,1/('Project SqFt'!$P$18:$P$78=B81)/('Project SqFt'!$Q$18:$Q$78=C81),'Project SqFt'!$T$18:$T$87))="","",IFERROR(_xlfn.IFNA(LOOKUP(2,1/('Project SqFt'!$A$18:$A$87=B81)/('Project SqFt'!$B$18:$B$87=C81),'Project SqFt'!$D$18:$D$87),LOOKUP(2,1/('Project SqFt'!$H$18:$H$87=B81)/('Project SqFt'!$I$18:$I$87=C81),'Project SqFt'!$L$18:$L$87)),LOOKUP(2,1/('Project SqFt'!$P$18:$P$78=B81)/('Project SqFt'!$Q$18:$Q$78=C81),'Project SqFt'!$T$18:$T$87))),"")</f>
        <v/>
      </c>
      <c r="E81" s="753"/>
      <c r="F81" s="753"/>
      <c r="G81" s="860"/>
      <c r="H81" s="1164"/>
      <c r="I81" s="861"/>
      <c r="J81" s="926" t="str">
        <f t="shared" ref="J81:J120" si="4">IF($G81="","",IF($G81&lt;=$U81,$W$133,IF(AND($G81&gt;U81,$G81&lt;=$V81),$W$134,"Does Not Qualify")))</f>
        <v/>
      </c>
      <c r="K81" s="926"/>
      <c r="L81" s="926"/>
      <c r="M81" s="29"/>
      <c r="N81" s="489"/>
      <c r="O81" s="29"/>
      <c r="P81" s="489"/>
      <c r="Q81" s="29"/>
      <c r="R81" s="29"/>
      <c r="S81" s="489"/>
      <c r="U81" s="147" t="str">
        <f t="shared" ref="U81:U120" si="5">_xlfn.IFNA(HLOOKUP($O81,$U$126:$AB$127,2,FALSE),"")</f>
        <v/>
      </c>
      <c r="V81" s="147" t="str">
        <f t="shared" ref="V81:V120" si="6">_xlfn.IFNA(HLOOKUP($O81,$U$123:$AB$124,2,FALSE),"")</f>
        <v/>
      </c>
      <c r="W81" s="147" t="str">
        <f t="shared" ref="W81:W120" si="7">_xlfn.IFNA(HLOOKUP($D81,$U$129:$Y$130,2,FALSE),"")</f>
        <v/>
      </c>
    </row>
    <row r="82" spans="1:30" hidden="1" x14ac:dyDescent="0.25">
      <c r="A82" s="147">
        <v>42</v>
      </c>
      <c r="B82" s="29"/>
      <c r="C82" s="29"/>
      <c r="D82" s="194" t="str" cm="1">
        <f t="array" ref="D82">IFERROR(IF(IFERROR(_xlfn.IFNA(LOOKUP(2,1/('Project SqFt'!$A$18:$A$87=B82)/('Project SqFt'!$B$18:$B$87=C82),'Project SqFt'!$D$18:$D$87),LOOKUP(2,1/('Project SqFt'!$H$18:$H$87=B82)/('Project SqFt'!$I$18:$I$87=C82),'Project SqFt'!$L$18:$L$87)),LOOKUP(2,1/('Project SqFt'!$P$18:$P$78=B82)/('Project SqFt'!$Q$18:$Q$78=C82),'Project SqFt'!$T$18:$T$87))="","",IFERROR(_xlfn.IFNA(LOOKUP(2,1/('Project SqFt'!$A$18:$A$87=B82)/('Project SqFt'!$B$18:$B$87=C82),'Project SqFt'!$D$18:$D$87),LOOKUP(2,1/('Project SqFt'!$H$18:$H$87=B82)/('Project SqFt'!$I$18:$I$87=C82),'Project SqFt'!$L$18:$L$87)),LOOKUP(2,1/('Project SqFt'!$P$18:$P$78=B82)/('Project SqFt'!$Q$18:$Q$78=C82),'Project SqFt'!$T$18:$T$87))),"")</f>
        <v/>
      </c>
      <c r="E82" s="753"/>
      <c r="F82" s="753"/>
      <c r="G82" s="860"/>
      <c r="H82" s="1164"/>
      <c r="I82" s="861"/>
      <c r="J82" s="926" t="str">
        <f t="shared" si="4"/>
        <v/>
      </c>
      <c r="K82" s="926"/>
      <c r="L82" s="926"/>
      <c r="M82" s="29"/>
      <c r="N82" s="489"/>
      <c r="O82" s="29"/>
      <c r="P82" s="489"/>
      <c r="Q82" s="29"/>
      <c r="R82" s="29"/>
      <c r="S82" s="489"/>
      <c r="U82" s="147" t="str">
        <f t="shared" si="5"/>
        <v/>
      </c>
      <c r="V82" s="147" t="str">
        <f t="shared" si="6"/>
        <v/>
      </c>
      <c r="W82" s="147" t="str">
        <f t="shared" si="7"/>
        <v/>
      </c>
    </row>
    <row r="83" spans="1:30" hidden="1" x14ac:dyDescent="0.25">
      <c r="A83" s="147">
        <v>43</v>
      </c>
      <c r="B83" s="29"/>
      <c r="C83" s="29"/>
      <c r="D83" s="194" t="str" cm="1">
        <f t="array" ref="D83">IFERROR(IF(IFERROR(_xlfn.IFNA(LOOKUP(2,1/('Project SqFt'!$A$18:$A$87=B83)/('Project SqFt'!$B$18:$B$87=C83),'Project SqFt'!$D$18:$D$87),LOOKUP(2,1/('Project SqFt'!$H$18:$H$87=B83)/('Project SqFt'!$I$18:$I$87=C83),'Project SqFt'!$L$18:$L$87)),LOOKUP(2,1/('Project SqFt'!$P$18:$P$78=B83)/('Project SqFt'!$Q$18:$Q$78=C83),'Project SqFt'!$T$18:$T$87))="","",IFERROR(_xlfn.IFNA(LOOKUP(2,1/('Project SqFt'!$A$18:$A$87=B83)/('Project SqFt'!$B$18:$B$87=C83),'Project SqFt'!$D$18:$D$87),LOOKUP(2,1/('Project SqFt'!$H$18:$H$87=B83)/('Project SqFt'!$I$18:$I$87=C83),'Project SqFt'!$L$18:$L$87)),LOOKUP(2,1/('Project SqFt'!$P$18:$P$78=B83)/('Project SqFt'!$Q$18:$Q$78=C83),'Project SqFt'!$T$18:$T$87))),"")</f>
        <v/>
      </c>
      <c r="E83" s="753"/>
      <c r="F83" s="753"/>
      <c r="G83" s="860"/>
      <c r="H83" s="1164"/>
      <c r="I83" s="861"/>
      <c r="J83" s="926" t="str">
        <f t="shared" si="4"/>
        <v/>
      </c>
      <c r="K83" s="926"/>
      <c r="L83" s="926"/>
      <c r="M83" s="29"/>
      <c r="N83" s="489"/>
      <c r="O83" s="29"/>
      <c r="P83" s="489"/>
      <c r="Q83" s="29"/>
      <c r="R83" s="29"/>
      <c r="S83" s="489"/>
      <c r="U83" s="147" t="str">
        <f t="shared" si="5"/>
        <v/>
      </c>
      <c r="V83" s="147" t="str">
        <f t="shared" si="6"/>
        <v/>
      </c>
      <c r="W83" s="147" t="str">
        <f t="shared" si="7"/>
        <v/>
      </c>
    </row>
    <row r="84" spans="1:30" hidden="1" x14ac:dyDescent="0.25">
      <c r="A84" s="147">
        <v>44</v>
      </c>
      <c r="B84" s="29"/>
      <c r="C84" s="29"/>
      <c r="D84" s="194" t="str" cm="1">
        <f t="array" ref="D84">IFERROR(IF(IFERROR(_xlfn.IFNA(LOOKUP(2,1/('Project SqFt'!$A$18:$A$87=B84)/('Project SqFt'!$B$18:$B$87=C84),'Project SqFt'!$D$18:$D$87),LOOKUP(2,1/('Project SqFt'!$H$18:$H$87=B84)/('Project SqFt'!$I$18:$I$87=C84),'Project SqFt'!$L$18:$L$87)),LOOKUP(2,1/('Project SqFt'!$P$18:$P$78=B84)/('Project SqFt'!$Q$18:$Q$78=C84),'Project SqFt'!$T$18:$T$87))="","",IFERROR(_xlfn.IFNA(LOOKUP(2,1/('Project SqFt'!$A$18:$A$87=B84)/('Project SqFt'!$B$18:$B$87=C84),'Project SqFt'!$D$18:$D$87),LOOKUP(2,1/('Project SqFt'!$H$18:$H$87=B84)/('Project SqFt'!$I$18:$I$87=C84),'Project SqFt'!$L$18:$L$87)),LOOKUP(2,1/('Project SqFt'!$P$18:$P$78=B84)/('Project SqFt'!$Q$18:$Q$78=C84),'Project SqFt'!$T$18:$T$87))),"")</f>
        <v/>
      </c>
      <c r="E84" s="753"/>
      <c r="F84" s="753"/>
      <c r="G84" s="860"/>
      <c r="H84" s="1164"/>
      <c r="I84" s="861"/>
      <c r="J84" s="926" t="str">
        <f t="shared" si="4"/>
        <v/>
      </c>
      <c r="K84" s="926"/>
      <c r="L84" s="926"/>
      <c r="M84" s="29"/>
      <c r="N84" s="489"/>
      <c r="O84" s="29"/>
      <c r="P84" s="489"/>
      <c r="Q84" s="29"/>
      <c r="R84" s="29"/>
      <c r="S84" s="489"/>
      <c r="U84" s="147" t="str">
        <f t="shared" si="5"/>
        <v/>
      </c>
      <c r="V84" s="147" t="str">
        <f t="shared" si="6"/>
        <v/>
      </c>
      <c r="W84" s="147" t="str">
        <f t="shared" si="7"/>
        <v/>
      </c>
    </row>
    <row r="85" spans="1:30" hidden="1" x14ac:dyDescent="0.25">
      <c r="A85" s="147">
        <v>45</v>
      </c>
      <c r="B85" s="29"/>
      <c r="C85" s="29"/>
      <c r="D85" s="194" t="str" cm="1">
        <f t="array" ref="D85">IFERROR(IF(IFERROR(_xlfn.IFNA(LOOKUP(2,1/('Project SqFt'!$A$18:$A$87=B85)/('Project SqFt'!$B$18:$B$87=C85),'Project SqFt'!$D$18:$D$87),LOOKUP(2,1/('Project SqFt'!$H$18:$H$87=B85)/('Project SqFt'!$I$18:$I$87=C85),'Project SqFt'!$L$18:$L$87)),LOOKUP(2,1/('Project SqFt'!$P$18:$P$78=B85)/('Project SqFt'!$Q$18:$Q$78=C85),'Project SqFt'!$T$18:$T$87))="","",IFERROR(_xlfn.IFNA(LOOKUP(2,1/('Project SqFt'!$A$18:$A$87=B85)/('Project SqFt'!$B$18:$B$87=C85),'Project SqFt'!$D$18:$D$87),LOOKUP(2,1/('Project SqFt'!$H$18:$H$87=B85)/('Project SqFt'!$I$18:$I$87=C85),'Project SqFt'!$L$18:$L$87)),LOOKUP(2,1/('Project SqFt'!$P$18:$P$78=B85)/('Project SqFt'!$Q$18:$Q$78=C85),'Project SqFt'!$T$18:$T$87))),"")</f>
        <v/>
      </c>
      <c r="E85" s="753"/>
      <c r="F85" s="753"/>
      <c r="G85" s="860"/>
      <c r="H85" s="1164"/>
      <c r="I85" s="861"/>
      <c r="J85" s="926" t="str">
        <f t="shared" si="4"/>
        <v/>
      </c>
      <c r="K85" s="926"/>
      <c r="L85" s="926"/>
      <c r="M85" s="29"/>
      <c r="N85" s="489"/>
      <c r="O85" s="29"/>
      <c r="P85" s="489"/>
      <c r="Q85" s="29"/>
      <c r="R85" s="29"/>
      <c r="S85" s="489"/>
      <c r="U85" s="147" t="str">
        <f t="shared" si="5"/>
        <v/>
      </c>
      <c r="V85" s="147" t="str">
        <f t="shared" si="6"/>
        <v/>
      </c>
      <c r="W85" s="147" t="str">
        <f t="shared" si="7"/>
        <v/>
      </c>
    </row>
    <row r="86" spans="1:30" hidden="1" x14ac:dyDescent="0.25">
      <c r="A86" s="147">
        <v>46</v>
      </c>
      <c r="B86" s="29"/>
      <c r="C86" s="29"/>
      <c r="D86" s="194" t="str" cm="1">
        <f t="array" ref="D86">IFERROR(IF(IFERROR(_xlfn.IFNA(LOOKUP(2,1/('Project SqFt'!$A$18:$A$87=B86)/('Project SqFt'!$B$18:$B$87=C86),'Project SqFt'!$D$18:$D$87),LOOKUP(2,1/('Project SqFt'!$H$18:$H$87=B86)/('Project SqFt'!$I$18:$I$87=C86),'Project SqFt'!$L$18:$L$87)),LOOKUP(2,1/('Project SqFt'!$P$18:$P$78=B86)/('Project SqFt'!$Q$18:$Q$78=C86),'Project SqFt'!$T$18:$T$87))="","",IFERROR(_xlfn.IFNA(LOOKUP(2,1/('Project SqFt'!$A$18:$A$87=B86)/('Project SqFt'!$B$18:$B$87=C86),'Project SqFt'!$D$18:$D$87),LOOKUP(2,1/('Project SqFt'!$H$18:$H$87=B86)/('Project SqFt'!$I$18:$I$87=C86),'Project SqFt'!$L$18:$L$87)),LOOKUP(2,1/('Project SqFt'!$P$18:$P$78=B86)/('Project SqFt'!$Q$18:$Q$78=C86),'Project SqFt'!$T$18:$T$87))),"")</f>
        <v/>
      </c>
      <c r="E86" s="753"/>
      <c r="F86" s="753"/>
      <c r="G86" s="860"/>
      <c r="H86" s="1164"/>
      <c r="I86" s="861"/>
      <c r="J86" s="926" t="str">
        <f t="shared" si="4"/>
        <v/>
      </c>
      <c r="K86" s="926"/>
      <c r="L86" s="926"/>
      <c r="M86" s="29"/>
      <c r="N86" s="489"/>
      <c r="O86" s="29"/>
      <c r="P86" s="489"/>
      <c r="Q86" s="29"/>
      <c r="R86" s="29"/>
      <c r="S86" s="489"/>
      <c r="U86" s="147" t="str">
        <f t="shared" si="5"/>
        <v/>
      </c>
      <c r="V86" s="147" t="str">
        <f t="shared" si="6"/>
        <v/>
      </c>
      <c r="W86" s="147" t="str">
        <f t="shared" si="7"/>
        <v/>
      </c>
    </row>
    <row r="87" spans="1:30" hidden="1" x14ac:dyDescent="0.25">
      <c r="A87" s="147">
        <v>47</v>
      </c>
      <c r="B87" s="29"/>
      <c r="C87" s="29"/>
      <c r="D87" s="194" t="str" cm="1">
        <f t="array" ref="D87">IFERROR(IF(IFERROR(_xlfn.IFNA(LOOKUP(2,1/('Project SqFt'!$A$18:$A$87=B87)/('Project SqFt'!$B$18:$B$87=C87),'Project SqFt'!$D$18:$D$87),LOOKUP(2,1/('Project SqFt'!$H$18:$H$87=B87)/('Project SqFt'!$I$18:$I$87=C87),'Project SqFt'!$L$18:$L$87)),LOOKUP(2,1/('Project SqFt'!$P$18:$P$78=B87)/('Project SqFt'!$Q$18:$Q$78=C87),'Project SqFt'!$T$18:$T$87))="","",IFERROR(_xlfn.IFNA(LOOKUP(2,1/('Project SqFt'!$A$18:$A$87=B87)/('Project SqFt'!$B$18:$B$87=C87),'Project SqFt'!$D$18:$D$87),LOOKUP(2,1/('Project SqFt'!$H$18:$H$87=B87)/('Project SqFt'!$I$18:$I$87=C87),'Project SqFt'!$L$18:$L$87)),LOOKUP(2,1/('Project SqFt'!$P$18:$P$78=B87)/('Project SqFt'!$Q$18:$Q$78=C87),'Project SqFt'!$T$18:$T$87))),"")</f>
        <v/>
      </c>
      <c r="E87" s="753"/>
      <c r="F87" s="753"/>
      <c r="G87" s="860"/>
      <c r="H87" s="1164"/>
      <c r="I87" s="861"/>
      <c r="J87" s="926" t="str">
        <f t="shared" si="4"/>
        <v/>
      </c>
      <c r="K87" s="926"/>
      <c r="L87" s="926"/>
      <c r="M87" s="29"/>
      <c r="N87" s="489"/>
      <c r="O87" s="29"/>
      <c r="P87" s="489"/>
      <c r="Q87" s="29"/>
      <c r="R87" s="29"/>
      <c r="S87" s="489"/>
      <c r="U87" s="147" t="str">
        <f t="shared" si="5"/>
        <v/>
      </c>
      <c r="V87" s="147" t="str">
        <f t="shared" si="6"/>
        <v/>
      </c>
      <c r="W87" s="147" t="str">
        <f t="shared" si="7"/>
        <v/>
      </c>
    </row>
    <row r="88" spans="1:30" hidden="1" x14ac:dyDescent="0.25">
      <c r="A88" s="147">
        <v>48</v>
      </c>
      <c r="B88" s="29"/>
      <c r="C88" s="29"/>
      <c r="D88" s="194" t="str" cm="1">
        <f t="array" ref="D88">IFERROR(IF(IFERROR(_xlfn.IFNA(LOOKUP(2,1/('Project SqFt'!$A$18:$A$87=B88)/('Project SqFt'!$B$18:$B$87=C88),'Project SqFt'!$D$18:$D$87),LOOKUP(2,1/('Project SqFt'!$H$18:$H$87=B88)/('Project SqFt'!$I$18:$I$87=C88),'Project SqFt'!$L$18:$L$87)),LOOKUP(2,1/('Project SqFt'!$P$18:$P$78=B88)/('Project SqFt'!$Q$18:$Q$78=C88),'Project SqFt'!$T$18:$T$87))="","",IFERROR(_xlfn.IFNA(LOOKUP(2,1/('Project SqFt'!$A$18:$A$87=B88)/('Project SqFt'!$B$18:$B$87=C88),'Project SqFt'!$D$18:$D$87),LOOKUP(2,1/('Project SqFt'!$H$18:$H$87=B88)/('Project SqFt'!$I$18:$I$87=C88),'Project SqFt'!$L$18:$L$87)),LOOKUP(2,1/('Project SqFt'!$P$18:$P$78=B88)/('Project SqFt'!$Q$18:$Q$78=C88),'Project SqFt'!$T$18:$T$87))),"")</f>
        <v/>
      </c>
      <c r="E88" s="753"/>
      <c r="F88" s="753"/>
      <c r="G88" s="860"/>
      <c r="H88" s="1164"/>
      <c r="I88" s="861"/>
      <c r="J88" s="926" t="str">
        <f t="shared" si="4"/>
        <v/>
      </c>
      <c r="K88" s="926"/>
      <c r="L88" s="926"/>
      <c r="M88" s="29"/>
      <c r="N88" s="489"/>
      <c r="O88" s="29"/>
      <c r="P88" s="489"/>
      <c r="Q88" s="29"/>
      <c r="R88" s="29"/>
      <c r="S88" s="489"/>
      <c r="U88" s="147" t="str">
        <f t="shared" si="5"/>
        <v/>
      </c>
      <c r="V88" s="147" t="str">
        <f t="shared" si="6"/>
        <v/>
      </c>
      <c r="W88" s="147" t="str">
        <f t="shared" si="7"/>
        <v/>
      </c>
    </row>
    <row r="89" spans="1:30" hidden="1" x14ac:dyDescent="0.25">
      <c r="A89" s="147">
        <v>49</v>
      </c>
      <c r="B89" s="29"/>
      <c r="C89" s="29"/>
      <c r="D89" s="194" t="str" cm="1">
        <f t="array" ref="D89">IFERROR(IF(IFERROR(_xlfn.IFNA(LOOKUP(2,1/('Project SqFt'!$A$18:$A$87=B89)/('Project SqFt'!$B$18:$B$87=C89),'Project SqFt'!$D$18:$D$87),LOOKUP(2,1/('Project SqFt'!$H$18:$H$87=B89)/('Project SqFt'!$I$18:$I$87=C89),'Project SqFt'!$L$18:$L$87)),LOOKUP(2,1/('Project SqFt'!$P$18:$P$78=B89)/('Project SqFt'!$Q$18:$Q$78=C89),'Project SqFt'!$T$18:$T$87))="","",IFERROR(_xlfn.IFNA(LOOKUP(2,1/('Project SqFt'!$A$18:$A$87=B89)/('Project SqFt'!$B$18:$B$87=C89),'Project SqFt'!$D$18:$D$87),LOOKUP(2,1/('Project SqFt'!$H$18:$H$87=B89)/('Project SqFt'!$I$18:$I$87=C89),'Project SqFt'!$L$18:$L$87)),LOOKUP(2,1/('Project SqFt'!$P$18:$P$78=B89)/('Project SqFt'!$Q$18:$Q$78=C89),'Project SqFt'!$T$18:$T$87))),"")</f>
        <v/>
      </c>
      <c r="E89" s="753"/>
      <c r="F89" s="753"/>
      <c r="G89" s="860"/>
      <c r="H89" s="1164"/>
      <c r="I89" s="861"/>
      <c r="J89" s="926" t="str">
        <f t="shared" si="4"/>
        <v/>
      </c>
      <c r="K89" s="926"/>
      <c r="L89" s="926"/>
      <c r="M89" s="29"/>
      <c r="N89" s="489"/>
      <c r="O89" s="29"/>
      <c r="P89" s="489"/>
      <c r="Q89" s="29"/>
      <c r="R89" s="29"/>
      <c r="S89" s="489"/>
      <c r="U89" s="147" t="str">
        <f t="shared" si="5"/>
        <v/>
      </c>
      <c r="V89" s="147" t="str">
        <f t="shared" si="6"/>
        <v/>
      </c>
      <c r="W89" s="147" t="str">
        <f t="shared" si="7"/>
        <v/>
      </c>
      <c r="AD89" s="319"/>
    </row>
    <row r="90" spans="1:30" hidden="1" x14ac:dyDescent="0.25">
      <c r="A90" s="147">
        <v>50</v>
      </c>
      <c r="B90" s="29"/>
      <c r="C90" s="29"/>
      <c r="D90" s="194" t="str" cm="1">
        <f t="array" ref="D90">IFERROR(IF(IFERROR(_xlfn.IFNA(LOOKUP(2,1/('Project SqFt'!$A$18:$A$87=B90)/('Project SqFt'!$B$18:$B$87=C90),'Project SqFt'!$D$18:$D$87),LOOKUP(2,1/('Project SqFt'!$H$18:$H$87=B90)/('Project SqFt'!$I$18:$I$87=C90),'Project SqFt'!$L$18:$L$87)),LOOKUP(2,1/('Project SqFt'!$P$18:$P$78=B90)/('Project SqFt'!$Q$18:$Q$78=C90),'Project SqFt'!$T$18:$T$87))="","",IFERROR(_xlfn.IFNA(LOOKUP(2,1/('Project SqFt'!$A$18:$A$87=B90)/('Project SqFt'!$B$18:$B$87=C90),'Project SqFt'!$D$18:$D$87),LOOKUP(2,1/('Project SqFt'!$H$18:$H$87=B90)/('Project SqFt'!$I$18:$I$87=C90),'Project SqFt'!$L$18:$L$87)),LOOKUP(2,1/('Project SqFt'!$P$18:$P$78=B90)/('Project SqFt'!$Q$18:$Q$78=C90),'Project SqFt'!$T$18:$T$87))),"")</f>
        <v/>
      </c>
      <c r="E90" s="753"/>
      <c r="F90" s="753"/>
      <c r="G90" s="860"/>
      <c r="H90" s="1164"/>
      <c r="I90" s="861"/>
      <c r="J90" s="926" t="str">
        <f t="shared" si="4"/>
        <v/>
      </c>
      <c r="K90" s="926"/>
      <c r="L90" s="926"/>
      <c r="M90" s="29"/>
      <c r="N90" s="489"/>
      <c r="O90" s="29"/>
      <c r="P90" s="489"/>
      <c r="Q90" s="29"/>
      <c r="R90" s="29"/>
      <c r="S90" s="489"/>
      <c r="U90" s="147" t="str">
        <f t="shared" si="5"/>
        <v/>
      </c>
      <c r="V90" s="147" t="str">
        <f t="shared" si="6"/>
        <v/>
      </c>
      <c r="W90" s="147" t="str">
        <f t="shared" si="7"/>
        <v/>
      </c>
      <c r="AD90" s="319"/>
    </row>
    <row r="91" spans="1:30" hidden="1" x14ac:dyDescent="0.25">
      <c r="A91" s="147">
        <v>51</v>
      </c>
      <c r="B91" s="29"/>
      <c r="C91" s="29"/>
      <c r="D91" s="194" t="str" cm="1">
        <f t="array" ref="D91">IFERROR(IF(IFERROR(_xlfn.IFNA(LOOKUP(2,1/('Project SqFt'!$A$18:$A$87=B91)/('Project SqFt'!$B$18:$B$87=C91),'Project SqFt'!$D$18:$D$87),LOOKUP(2,1/('Project SqFt'!$H$18:$H$87=B91)/('Project SqFt'!$I$18:$I$87=C91),'Project SqFt'!$L$18:$L$87)),LOOKUP(2,1/('Project SqFt'!$P$18:$P$78=B91)/('Project SqFt'!$Q$18:$Q$78=C91),'Project SqFt'!$T$18:$T$87))="","",IFERROR(_xlfn.IFNA(LOOKUP(2,1/('Project SqFt'!$A$18:$A$87=B91)/('Project SqFt'!$B$18:$B$87=C91),'Project SqFt'!$D$18:$D$87),LOOKUP(2,1/('Project SqFt'!$H$18:$H$87=B91)/('Project SqFt'!$I$18:$I$87=C91),'Project SqFt'!$L$18:$L$87)),LOOKUP(2,1/('Project SqFt'!$P$18:$P$78=B91)/('Project SqFt'!$Q$18:$Q$78=C91),'Project SqFt'!$T$18:$T$87))),"")</f>
        <v/>
      </c>
      <c r="E91" s="753"/>
      <c r="F91" s="753"/>
      <c r="G91" s="860"/>
      <c r="H91" s="1164"/>
      <c r="I91" s="861"/>
      <c r="J91" s="926" t="str">
        <f t="shared" si="4"/>
        <v/>
      </c>
      <c r="K91" s="926"/>
      <c r="L91" s="926"/>
      <c r="M91" s="29"/>
      <c r="N91" s="489"/>
      <c r="O91" s="29"/>
      <c r="P91" s="489"/>
      <c r="Q91" s="29"/>
      <c r="R91" s="29"/>
      <c r="S91" s="489"/>
      <c r="U91" s="147" t="str">
        <f t="shared" si="5"/>
        <v/>
      </c>
      <c r="V91" s="147" t="str">
        <f t="shared" si="6"/>
        <v/>
      </c>
      <c r="W91" s="147" t="str">
        <f t="shared" si="7"/>
        <v/>
      </c>
    </row>
    <row r="92" spans="1:30" hidden="1" x14ac:dyDescent="0.25">
      <c r="A92" s="147">
        <v>52</v>
      </c>
      <c r="B92" s="29"/>
      <c r="C92" s="29"/>
      <c r="D92" s="194" t="str" cm="1">
        <f t="array" ref="D92">IFERROR(IF(IFERROR(_xlfn.IFNA(LOOKUP(2,1/('Project SqFt'!$A$18:$A$87=B92)/('Project SqFt'!$B$18:$B$87=C92),'Project SqFt'!$D$18:$D$87),LOOKUP(2,1/('Project SqFt'!$H$18:$H$87=B92)/('Project SqFt'!$I$18:$I$87=C92),'Project SqFt'!$L$18:$L$87)),LOOKUP(2,1/('Project SqFt'!$P$18:$P$78=B92)/('Project SqFt'!$Q$18:$Q$78=C92),'Project SqFt'!$T$18:$T$87))="","",IFERROR(_xlfn.IFNA(LOOKUP(2,1/('Project SqFt'!$A$18:$A$87=B92)/('Project SqFt'!$B$18:$B$87=C92),'Project SqFt'!$D$18:$D$87),LOOKUP(2,1/('Project SqFt'!$H$18:$H$87=B92)/('Project SqFt'!$I$18:$I$87=C92),'Project SqFt'!$L$18:$L$87)),LOOKUP(2,1/('Project SqFt'!$P$18:$P$78=B92)/('Project SqFt'!$Q$18:$Q$78=C92),'Project SqFt'!$T$18:$T$87))),"")</f>
        <v/>
      </c>
      <c r="E92" s="753"/>
      <c r="F92" s="753"/>
      <c r="G92" s="860"/>
      <c r="H92" s="1164"/>
      <c r="I92" s="861"/>
      <c r="J92" s="926" t="str">
        <f t="shared" si="4"/>
        <v/>
      </c>
      <c r="K92" s="926"/>
      <c r="L92" s="926"/>
      <c r="M92" s="29"/>
      <c r="N92" s="489"/>
      <c r="O92" s="29"/>
      <c r="P92" s="489"/>
      <c r="Q92" s="29"/>
      <c r="R92" s="29"/>
      <c r="S92" s="489"/>
      <c r="U92" s="147" t="str">
        <f t="shared" si="5"/>
        <v/>
      </c>
      <c r="V92" s="147" t="str">
        <f t="shared" si="6"/>
        <v/>
      </c>
      <c r="W92" s="147" t="str">
        <f t="shared" si="7"/>
        <v/>
      </c>
    </row>
    <row r="93" spans="1:30" hidden="1" x14ac:dyDescent="0.25">
      <c r="A93" s="147">
        <v>53</v>
      </c>
      <c r="B93" s="29"/>
      <c r="C93" s="29"/>
      <c r="D93" s="194" t="str" cm="1">
        <f t="array" ref="D93">IFERROR(IF(IFERROR(_xlfn.IFNA(LOOKUP(2,1/('Project SqFt'!$A$18:$A$87=B93)/('Project SqFt'!$B$18:$B$87=C93),'Project SqFt'!$D$18:$D$87),LOOKUP(2,1/('Project SqFt'!$H$18:$H$87=B93)/('Project SqFt'!$I$18:$I$87=C93),'Project SqFt'!$L$18:$L$87)),LOOKUP(2,1/('Project SqFt'!$P$18:$P$78=B93)/('Project SqFt'!$Q$18:$Q$78=C93),'Project SqFt'!$T$18:$T$87))="","",IFERROR(_xlfn.IFNA(LOOKUP(2,1/('Project SqFt'!$A$18:$A$87=B93)/('Project SqFt'!$B$18:$B$87=C93),'Project SqFt'!$D$18:$D$87),LOOKUP(2,1/('Project SqFt'!$H$18:$H$87=B93)/('Project SqFt'!$I$18:$I$87=C93),'Project SqFt'!$L$18:$L$87)),LOOKUP(2,1/('Project SqFt'!$P$18:$P$78=B93)/('Project SqFt'!$Q$18:$Q$78=C93),'Project SqFt'!$T$18:$T$87))),"")</f>
        <v/>
      </c>
      <c r="E93" s="753"/>
      <c r="F93" s="753"/>
      <c r="G93" s="860"/>
      <c r="H93" s="1164"/>
      <c r="I93" s="861"/>
      <c r="J93" s="926" t="str">
        <f t="shared" si="4"/>
        <v/>
      </c>
      <c r="K93" s="926"/>
      <c r="L93" s="926"/>
      <c r="M93" s="29"/>
      <c r="N93" s="489"/>
      <c r="O93" s="29"/>
      <c r="P93" s="489"/>
      <c r="Q93" s="29"/>
      <c r="R93" s="29"/>
      <c r="S93" s="489"/>
      <c r="U93" s="147" t="str">
        <f t="shared" si="5"/>
        <v/>
      </c>
      <c r="V93" s="147" t="str">
        <f t="shared" si="6"/>
        <v/>
      </c>
      <c r="W93" s="147" t="str">
        <f t="shared" si="7"/>
        <v/>
      </c>
    </row>
    <row r="94" spans="1:30" hidden="1" x14ac:dyDescent="0.25">
      <c r="A94" s="147">
        <v>54</v>
      </c>
      <c r="B94" s="29"/>
      <c r="C94" s="29"/>
      <c r="D94" s="194" t="str" cm="1">
        <f t="array" ref="D94">IFERROR(IF(IFERROR(_xlfn.IFNA(LOOKUP(2,1/('Project SqFt'!$A$18:$A$87=B94)/('Project SqFt'!$B$18:$B$87=C94),'Project SqFt'!$D$18:$D$87),LOOKUP(2,1/('Project SqFt'!$H$18:$H$87=B94)/('Project SqFt'!$I$18:$I$87=C94),'Project SqFt'!$L$18:$L$87)),LOOKUP(2,1/('Project SqFt'!$P$18:$P$78=B94)/('Project SqFt'!$Q$18:$Q$78=C94),'Project SqFt'!$T$18:$T$87))="","",IFERROR(_xlfn.IFNA(LOOKUP(2,1/('Project SqFt'!$A$18:$A$87=B94)/('Project SqFt'!$B$18:$B$87=C94),'Project SqFt'!$D$18:$D$87),LOOKUP(2,1/('Project SqFt'!$H$18:$H$87=B94)/('Project SqFt'!$I$18:$I$87=C94),'Project SqFt'!$L$18:$L$87)),LOOKUP(2,1/('Project SqFt'!$P$18:$P$78=B94)/('Project SqFt'!$Q$18:$Q$78=C94),'Project SqFt'!$T$18:$T$87))),"")</f>
        <v/>
      </c>
      <c r="E94" s="753"/>
      <c r="F94" s="753"/>
      <c r="G94" s="860"/>
      <c r="H94" s="1164"/>
      <c r="I94" s="861"/>
      <c r="J94" s="926" t="str">
        <f t="shared" si="4"/>
        <v/>
      </c>
      <c r="K94" s="926"/>
      <c r="L94" s="926"/>
      <c r="M94" s="29"/>
      <c r="N94" s="489"/>
      <c r="O94" s="29"/>
      <c r="P94" s="489"/>
      <c r="Q94" s="29"/>
      <c r="R94" s="29"/>
      <c r="S94" s="489"/>
      <c r="U94" s="147" t="str">
        <f t="shared" si="5"/>
        <v/>
      </c>
      <c r="V94" s="147" t="str">
        <f t="shared" si="6"/>
        <v/>
      </c>
      <c r="W94" s="147" t="str">
        <f t="shared" si="7"/>
        <v/>
      </c>
    </row>
    <row r="95" spans="1:30" hidden="1" x14ac:dyDescent="0.25">
      <c r="A95" s="147">
        <v>55</v>
      </c>
      <c r="B95" s="29"/>
      <c r="C95" s="29"/>
      <c r="D95" s="194" t="str" cm="1">
        <f t="array" ref="D95">IFERROR(IF(IFERROR(_xlfn.IFNA(LOOKUP(2,1/('Project SqFt'!$A$18:$A$87=B95)/('Project SqFt'!$B$18:$B$87=C95),'Project SqFt'!$D$18:$D$87),LOOKUP(2,1/('Project SqFt'!$H$18:$H$87=B95)/('Project SqFt'!$I$18:$I$87=C95),'Project SqFt'!$L$18:$L$87)),LOOKUP(2,1/('Project SqFt'!$P$18:$P$78=B95)/('Project SqFt'!$Q$18:$Q$78=C95),'Project SqFt'!$T$18:$T$87))="","",IFERROR(_xlfn.IFNA(LOOKUP(2,1/('Project SqFt'!$A$18:$A$87=B95)/('Project SqFt'!$B$18:$B$87=C95),'Project SqFt'!$D$18:$D$87),LOOKUP(2,1/('Project SqFt'!$H$18:$H$87=B95)/('Project SqFt'!$I$18:$I$87=C95),'Project SqFt'!$L$18:$L$87)),LOOKUP(2,1/('Project SqFt'!$P$18:$P$78=B95)/('Project SqFt'!$Q$18:$Q$78=C95),'Project SqFt'!$T$18:$T$87))),"")</f>
        <v/>
      </c>
      <c r="E95" s="753"/>
      <c r="F95" s="753"/>
      <c r="G95" s="860"/>
      <c r="H95" s="1164"/>
      <c r="I95" s="861"/>
      <c r="J95" s="926" t="str">
        <f t="shared" si="4"/>
        <v/>
      </c>
      <c r="K95" s="926"/>
      <c r="L95" s="926"/>
      <c r="M95" s="29"/>
      <c r="N95" s="489"/>
      <c r="O95" s="29"/>
      <c r="P95" s="489"/>
      <c r="Q95" s="29"/>
      <c r="R95" s="29"/>
      <c r="S95" s="489"/>
      <c r="U95" s="147" t="str">
        <f t="shared" si="5"/>
        <v/>
      </c>
      <c r="V95" s="147" t="str">
        <f t="shared" si="6"/>
        <v/>
      </c>
      <c r="W95" s="147" t="str">
        <f t="shared" si="7"/>
        <v/>
      </c>
    </row>
    <row r="96" spans="1:30" hidden="1" x14ac:dyDescent="0.25">
      <c r="A96" s="147">
        <v>56</v>
      </c>
      <c r="B96" s="29"/>
      <c r="C96" s="29"/>
      <c r="D96" s="194" t="str" cm="1">
        <f t="array" ref="D96">IFERROR(IF(IFERROR(_xlfn.IFNA(LOOKUP(2,1/('Project SqFt'!$A$18:$A$87=B96)/('Project SqFt'!$B$18:$B$87=C96),'Project SqFt'!$D$18:$D$87),LOOKUP(2,1/('Project SqFt'!$H$18:$H$87=B96)/('Project SqFt'!$I$18:$I$87=C96),'Project SqFt'!$L$18:$L$87)),LOOKUP(2,1/('Project SqFt'!$P$18:$P$78=B96)/('Project SqFt'!$Q$18:$Q$78=C96),'Project SqFt'!$T$18:$T$87))="","",IFERROR(_xlfn.IFNA(LOOKUP(2,1/('Project SqFt'!$A$18:$A$87=B96)/('Project SqFt'!$B$18:$B$87=C96),'Project SqFt'!$D$18:$D$87),LOOKUP(2,1/('Project SqFt'!$H$18:$H$87=B96)/('Project SqFt'!$I$18:$I$87=C96),'Project SqFt'!$L$18:$L$87)),LOOKUP(2,1/('Project SqFt'!$P$18:$P$78=B96)/('Project SqFt'!$Q$18:$Q$78=C96),'Project SqFt'!$T$18:$T$87))),"")</f>
        <v/>
      </c>
      <c r="E96" s="753"/>
      <c r="F96" s="753"/>
      <c r="G96" s="860"/>
      <c r="H96" s="1164"/>
      <c r="I96" s="861"/>
      <c r="J96" s="926" t="str">
        <f t="shared" si="4"/>
        <v/>
      </c>
      <c r="K96" s="926"/>
      <c r="L96" s="926"/>
      <c r="M96" s="29"/>
      <c r="N96" s="489"/>
      <c r="O96" s="29"/>
      <c r="P96" s="489"/>
      <c r="Q96" s="29"/>
      <c r="R96" s="29"/>
      <c r="S96" s="489"/>
      <c r="U96" s="147" t="str">
        <f t="shared" si="5"/>
        <v/>
      </c>
      <c r="V96" s="147" t="str">
        <f t="shared" si="6"/>
        <v/>
      </c>
      <c r="W96" s="147" t="str">
        <f t="shared" si="7"/>
        <v/>
      </c>
    </row>
    <row r="97" spans="1:23" hidden="1" x14ac:dyDescent="0.25">
      <c r="A97" s="147">
        <v>57</v>
      </c>
      <c r="B97" s="29"/>
      <c r="C97" s="29"/>
      <c r="D97" s="194" t="str" cm="1">
        <f t="array" ref="D97">IFERROR(IF(IFERROR(_xlfn.IFNA(LOOKUP(2,1/('Project SqFt'!$A$18:$A$87=B97)/('Project SqFt'!$B$18:$B$87=C97),'Project SqFt'!$D$18:$D$87),LOOKUP(2,1/('Project SqFt'!$H$18:$H$87=B97)/('Project SqFt'!$I$18:$I$87=C97),'Project SqFt'!$L$18:$L$87)),LOOKUP(2,1/('Project SqFt'!$P$18:$P$78=B97)/('Project SqFt'!$Q$18:$Q$78=C97),'Project SqFt'!$T$18:$T$87))="","",IFERROR(_xlfn.IFNA(LOOKUP(2,1/('Project SqFt'!$A$18:$A$87=B97)/('Project SqFt'!$B$18:$B$87=C97),'Project SqFt'!$D$18:$D$87),LOOKUP(2,1/('Project SqFt'!$H$18:$H$87=B97)/('Project SqFt'!$I$18:$I$87=C97),'Project SqFt'!$L$18:$L$87)),LOOKUP(2,1/('Project SqFt'!$P$18:$P$78=B97)/('Project SqFt'!$Q$18:$Q$78=C97),'Project SqFt'!$T$18:$T$87))),"")</f>
        <v/>
      </c>
      <c r="E97" s="753"/>
      <c r="F97" s="753"/>
      <c r="G97" s="860"/>
      <c r="H97" s="1164"/>
      <c r="I97" s="861"/>
      <c r="J97" s="926" t="str">
        <f t="shared" si="4"/>
        <v/>
      </c>
      <c r="K97" s="926"/>
      <c r="L97" s="926"/>
      <c r="M97" s="29"/>
      <c r="N97" s="489"/>
      <c r="O97" s="29"/>
      <c r="P97" s="489"/>
      <c r="Q97" s="29"/>
      <c r="R97" s="29"/>
      <c r="S97" s="489"/>
      <c r="U97" s="147" t="str">
        <f t="shared" si="5"/>
        <v/>
      </c>
      <c r="V97" s="147" t="str">
        <f t="shared" si="6"/>
        <v/>
      </c>
      <c r="W97" s="147" t="str">
        <f t="shared" si="7"/>
        <v/>
      </c>
    </row>
    <row r="98" spans="1:23" hidden="1" x14ac:dyDescent="0.25">
      <c r="A98" s="147">
        <v>58</v>
      </c>
      <c r="B98" s="29"/>
      <c r="C98" s="29"/>
      <c r="D98" s="194" t="str" cm="1">
        <f t="array" ref="D98">IFERROR(IF(IFERROR(_xlfn.IFNA(LOOKUP(2,1/('Project SqFt'!$A$18:$A$87=B98)/('Project SqFt'!$B$18:$B$87=C98),'Project SqFt'!$D$18:$D$87),LOOKUP(2,1/('Project SqFt'!$H$18:$H$87=B98)/('Project SqFt'!$I$18:$I$87=C98),'Project SqFt'!$L$18:$L$87)),LOOKUP(2,1/('Project SqFt'!$P$18:$P$78=B98)/('Project SqFt'!$Q$18:$Q$78=C98),'Project SqFt'!$T$18:$T$87))="","",IFERROR(_xlfn.IFNA(LOOKUP(2,1/('Project SqFt'!$A$18:$A$87=B98)/('Project SqFt'!$B$18:$B$87=C98),'Project SqFt'!$D$18:$D$87),LOOKUP(2,1/('Project SqFt'!$H$18:$H$87=B98)/('Project SqFt'!$I$18:$I$87=C98),'Project SqFt'!$L$18:$L$87)),LOOKUP(2,1/('Project SqFt'!$P$18:$P$78=B98)/('Project SqFt'!$Q$18:$Q$78=C98),'Project SqFt'!$T$18:$T$87))),"")</f>
        <v/>
      </c>
      <c r="E98" s="753"/>
      <c r="F98" s="753"/>
      <c r="G98" s="860"/>
      <c r="H98" s="1164"/>
      <c r="I98" s="861"/>
      <c r="J98" s="926" t="str">
        <f t="shared" si="4"/>
        <v/>
      </c>
      <c r="K98" s="926"/>
      <c r="L98" s="926"/>
      <c r="M98" s="29"/>
      <c r="N98" s="489"/>
      <c r="O98" s="29"/>
      <c r="P98" s="489"/>
      <c r="Q98" s="29"/>
      <c r="R98" s="29"/>
      <c r="S98" s="489"/>
      <c r="U98" s="147" t="str">
        <f t="shared" si="5"/>
        <v/>
      </c>
      <c r="V98" s="147" t="str">
        <f t="shared" si="6"/>
        <v/>
      </c>
      <c r="W98" s="147" t="str">
        <f t="shared" si="7"/>
        <v/>
      </c>
    </row>
    <row r="99" spans="1:23" hidden="1" x14ac:dyDescent="0.25">
      <c r="A99" s="147">
        <v>59</v>
      </c>
      <c r="B99" s="29"/>
      <c r="C99" s="29"/>
      <c r="D99" s="194" t="str" cm="1">
        <f t="array" ref="D99">IFERROR(IF(IFERROR(_xlfn.IFNA(LOOKUP(2,1/('Project SqFt'!$A$18:$A$87=B99)/('Project SqFt'!$B$18:$B$87=C99),'Project SqFt'!$D$18:$D$87),LOOKUP(2,1/('Project SqFt'!$H$18:$H$87=B99)/('Project SqFt'!$I$18:$I$87=C99),'Project SqFt'!$L$18:$L$87)),LOOKUP(2,1/('Project SqFt'!$P$18:$P$78=B99)/('Project SqFt'!$Q$18:$Q$78=C99),'Project SqFt'!$T$18:$T$87))="","",IFERROR(_xlfn.IFNA(LOOKUP(2,1/('Project SqFt'!$A$18:$A$87=B99)/('Project SqFt'!$B$18:$B$87=C99),'Project SqFt'!$D$18:$D$87),LOOKUP(2,1/('Project SqFt'!$H$18:$H$87=B99)/('Project SqFt'!$I$18:$I$87=C99),'Project SqFt'!$L$18:$L$87)),LOOKUP(2,1/('Project SqFt'!$P$18:$P$78=B99)/('Project SqFt'!$Q$18:$Q$78=C99),'Project SqFt'!$T$18:$T$87))),"")</f>
        <v/>
      </c>
      <c r="E99" s="753"/>
      <c r="F99" s="753"/>
      <c r="G99" s="860"/>
      <c r="H99" s="1164"/>
      <c r="I99" s="861"/>
      <c r="J99" s="926" t="str">
        <f t="shared" si="4"/>
        <v/>
      </c>
      <c r="K99" s="926"/>
      <c r="L99" s="926"/>
      <c r="M99" s="29"/>
      <c r="N99" s="489"/>
      <c r="O99" s="29"/>
      <c r="P99" s="489"/>
      <c r="Q99" s="29"/>
      <c r="R99" s="29"/>
      <c r="S99" s="489"/>
      <c r="U99" s="147" t="str">
        <f t="shared" si="5"/>
        <v/>
      </c>
      <c r="V99" s="147" t="str">
        <f t="shared" si="6"/>
        <v/>
      </c>
      <c r="W99" s="147" t="str">
        <f t="shared" si="7"/>
        <v/>
      </c>
    </row>
    <row r="100" spans="1:23" hidden="1" x14ac:dyDescent="0.25">
      <c r="A100" s="147">
        <v>60</v>
      </c>
      <c r="B100" s="29"/>
      <c r="C100" s="29"/>
      <c r="D100" s="194" t="str" cm="1">
        <f t="array" ref="D100">IFERROR(IF(IFERROR(_xlfn.IFNA(LOOKUP(2,1/('Project SqFt'!$A$18:$A$87=B100)/('Project SqFt'!$B$18:$B$87=C100),'Project SqFt'!$D$18:$D$87),LOOKUP(2,1/('Project SqFt'!$H$18:$H$87=B100)/('Project SqFt'!$I$18:$I$87=C100),'Project SqFt'!$L$18:$L$87)),LOOKUP(2,1/('Project SqFt'!$P$18:$P$78=B100)/('Project SqFt'!$Q$18:$Q$78=C100),'Project SqFt'!$T$18:$T$87))="","",IFERROR(_xlfn.IFNA(LOOKUP(2,1/('Project SqFt'!$A$18:$A$87=B100)/('Project SqFt'!$B$18:$B$87=C100),'Project SqFt'!$D$18:$D$87),LOOKUP(2,1/('Project SqFt'!$H$18:$H$87=B100)/('Project SqFt'!$I$18:$I$87=C100),'Project SqFt'!$L$18:$L$87)),LOOKUP(2,1/('Project SqFt'!$P$18:$P$78=B100)/('Project SqFt'!$Q$18:$Q$78=C100),'Project SqFt'!$T$18:$T$87))),"")</f>
        <v/>
      </c>
      <c r="E100" s="753"/>
      <c r="F100" s="753"/>
      <c r="G100" s="860"/>
      <c r="H100" s="1164"/>
      <c r="I100" s="861"/>
      <c r="J100" s="926" t="str">
        <f t="shared" si="4"/>
        <v/>
      </c>
      <c r="K100" s="926"/>
      <c r="L100" s="926"/>
      <c r="M100" s="29"/>
      <c r="N100" s="489"/>
      <c r="O100" s="29"/>
      <c r="P100" s="489"/>
      <c r="Q100" s="29"/>
      <c r="R100" s="29"/>
      <c r="S100" s="489"/>
      <c r="U100" s="147" t="str">
        <f t="shared" si="5"/>
        <v/>
      </c>
      <c r="V100" s="147" t="str">
        <f t="shared" si="6"/>
        <v/>
      </c>
      <c r="W100" s="147" t="str">
        <f t="shared" si="7"/>
        <v/>
      </c>
    </row>
    <row r="101" spans="1:23" hidden="1" x14ac:dyDescent="0.25">
      <c r="A101" s="147">
        <v>61</v>
      </c>
      <c r="B101" s="29"/>
      <c r="C101" s="29"/>
      <c r="D101" s="194" t="str" cm="1">
        <f t="array" ref="D101">IFERROR(IF(IFERROR(_xlfn.IFNA(LOOKUP(2,1/('Project SqFt'!$A$18:$A$87=B101)/('Project SqFt'!$B$18:$B$87=C101),'Project SqFt'!$D$18:$D$87),LOOKUP(2,1/('Project SqFt'!$H$18:$H$87=B101)/('Project SqFt'!$I$18:$I$87=C101),'Project SqFt'!$L$18:$L$87)),LOOKUP(2,1/('Project SqFt'!$P$18:$P$78=B101)/('Project SqFt'!$Q$18:$Q$78=C101),'Project SqFt'!$T$18:$T$87))="","",IFERROR(_xlfn.IFNA(LOOKUP(2,1/('Project SqFt'!$A$18:$A$87=B101)/('Project SqFt'!$B$18:$B$87=C101),'Project SqFt'!$D$18:$D$87),LOOKUP(2,1/('Project SqFt'!$H$18:$H$87=B101)/('Project SqFt'!$I$18:$I$87=C101),'Project SqFt'!$L$18:$L$87)),LOOKUP(2,1/('Project SqFt'!$P$18:$P$78=B101)/('Project SqFt'!$Q$18:$Q$78=C101),'Project SqFt'!$T$18:$T$87))),"")</f>
        <v/>
      </c>
      <c r="E101" s="753"/>
      <c r="F101" s="753"/>
      <c r="G101" s="860"/>
      <c r="H101" s="1164"/>
      <c r="I101" s="861"/>
      <c r="J101" s="926" t="str">
        <f t="shared" si="4"/>
        <v/>
      </c>
      <c r="K101" s="926"/>
      <c r="L101" s="926"/>
      <c r="M101" s="29"/>
      <c r="N101" s="489"/>
      <c r="O101" s="29"/>
      <c r="P101" s="489"/>
      <c r="Q101" s="29"/>
      <c r="R101" s="29"/>
      <c r="S101" s="489"/>
      <c r="U101" s="147" t="str">
        <f t="shared" si="5"/>
        <v/>
      </c>
      <c r="V101" s="147" t="str">
        <f t="shared" si="6"/>
        <v/>
      </c>
      <c r="W101" s="147" t="str">
        <f t="shared" si="7"/>
        <v/>
      </c>
    </row>
    <row r="102" spans="1:23" hidden="1" x14ac:dyDescent="0.25">
      <c r="A102" s="147">
        <v>62</v>
      </c>
      <c r="B102" s="29"/>
      <c r="C102" s="29"/>
      <c r="D102" s="194" t="str" cm="1">
        <f t="array" ref="D102">IFERROR(IF(IFERROR(_xlfn.IFNA(LOOKUP(2,1/('Project SqFt'!$A$18:$A$87=B102)/('Project SqFt'!$B$18:$B$87=C102),'Project SqFt'!$D$18:$D$87),LOOKUP(2,1/('Project SqFt'!$H$18:$H$87=B102)/('Project SqFt'!$I$18:$I$87=C102),'Project SqFt'!$L$18:$L$87)),LOOKUP(2,1/('Project SqFt'!$P$18:$P$78=B102)/('Project SqFt'!$Q$18:$Q$78=C102),'Project SqFt'!$T$18:$T$87))="","",IFERROR(_xlfn.IFNA(LOOKUP(2,1/('Project SqFt'!$A$18:$A$87=B102)/('Project SqFt'!$B$18:$B$87=C102),'Project SqFt'!$D$18:$D$87),LOOKUP(2,1/('Project SqFt'!$H$18:$H$87=B102)/('Project SqFt'!$I$18:$I$87=C102),'Project SqFt'!$L$18:$L$87)),LOOKUP(2,1/('Project SqFt'!$P$18:$P$78=B102)/('Project SqFt'!$Q$18:$Q$78=C102),'Project SqFt'!$T$18:$T$87))),"")</f>
        <v/>
      </c>
      <c r="E102" s="753"/>
      <c r="F102" s="753"/>
      <c r="G102" s="860"/>
      <c r="H102" s="1164"/>
      <c r="I102" s="861"/>
      <c r="J102" s="926" t="str">
        <f t="shared" si="4"/>
        <v/>
      </c>
      <c r="K102" s="926"/>
      <c r="L102" s="926"/>
      <c r="M102" s="29"/>
      <c r="N102" s="489"/>
      <c r="O102" s="29"/>
      <c r="P102" s="489"/>
      <c r="Q102" s="29"/>
      <c r="R102" s="29"/>
      <c r="S102" s="489"/>
      <c r="U102" s="147" t="str">
        <f t="shared" si="5"/>
        <v/>
      </c>
      <c r="V102" s="147" t="str">
        <f t="shared" si="6"/>
        <v/>
      </c>
      <c r="W102" s="147" t="str">
        <f t="shared" si="7"/>
        <v/>
      </c>
    </row>
    <row r="103" spans="1:23" hidden="1" x14ac:dyDescent="0.25">
      <c r="A103" s="147">
        <v>63</v>
      </c>
      <c r="B103" s="29"/>
      <c r="C103" s="29"/>
      <c r="D103" s="194" t="str" cm="1">
        <f t="array" ref="D103">IFERROR(IF(IFERROR(_xlfn.IFNA(LOOKUP(2,1/('Project SqFt'!$A$18:$A$87=B103)/('Project SqFt'!$B$18:$B$87=C103),'Project SqFt'!$D$18:$D$87),LOOKUP(2,1/('Project SqFt'!$H$18:$H$87=B103)/('Project SqFt'!$I$18:$I$87=C103),'Project SqFt'!$L$18:$L$87)),LOOKUP(2,1/('Project SqFt'!$P$18:$P$78=B103)/('Project SqFt'!$Q$18:$Q$78=C103),'Project SqFt'!$T$18:$T$87))="","",IFERROR(_xlfn.IFNA(LOOKUP(2,1/('Project SqFt'!$A$18:$A$87=B103)/('Project SqFt'!$B$18:$B$87=C103),'Project SqFt'!$D$18:$D$87),LOOKUP(2,1/('Project SqFt'!$H$18:$H$87=B103)/('Project SqFt'!$I$18:$I$87=C103),'Project SqFt'!$L$18:$L$87)),LOOKUP(2,1/('Project SqFt'!$P$18:$P$78=B103)/('Project SqFt'!$Q$18:$Q$78=C103),'Project SqFt'!$T$18:$T$87))),"")</f>
        <v/>
      </c>
      <c r="E103" s="753"/>
      <c r="F103" s="753"/>
      <c r="G103" s="860"/>
      <c r="H103" s="1164"/>
      <c r="I103" s="861"/>
      <c r="J103" s="926" t="str">
        <f t="shared" si="4"/>
        <v/>
      </c>
      <c r="K103" s="926"/>
      <c r="L103" s="926"/>
      <c r="M103" s="29"/>
      <c r="N103" s="489"/>
      <c r="O103" s="29"/>
      <c r="P103" s="489"/>
      <c r="Q103" s="29"/>
      <c r="R103" s="29"/>
      <c r="S103" s="489"/>
      <c r="U103" s="147" t="str">
        <f t="shared" si="5"/>
        <v/>
      </c>
      <c r="V103" s="147" t="str">
        <f t="shared" si="6"/>
        <v/>
      </c>
      <c r="W103" s="147" t="str">
        <f t="shared" si="7"/>
        <v/>
      </c>
    </row>
    <row r="104" spans="1:23" hidden="1" x14ac:dyDescent="0.25">
      <c r="A104" s="147">
        <v>64</v>
      </c>
      <c r="B104" s="29"/>
      <c r="C104" s="29"/>
      <c r="D104" s="194" t="str" cm="1">
        <f t="array" ref="D104">IFERROR(IF(IFERROR(_xlfn.IFNA(LOOKUP(2,1/('Project SqFt'!$A$18:$A$87=B104)/('Project SqFt'!$B$18:$B$87=C104),'Project SqFt'!$D$18:$D$87),LOOKUP(2,1/('Project SqFt'!$H$18:$H$87=B104)/('Project SqFt'!$I$18:$I$87=C104),'Project SqFt'!$L$18:$L$87)),LOOKUP(2,1/('Project SqFt'!$P$18:$P$78=B104)/('Project SqFt'!$Q$18:$Q$78=C104),'Project SqFt'!$T$18:$T$87))="","",IFERROR(_xlfn.IFNA(LOOKUP(2,1/('Project SqFt'!$A$18:$A$87=B104)/('Project SqFt'!$B$18:$B$87=C104),'Project SqFt'!$D$18:$D$87),LOOKUP(2,1/('Project SqFt'!$H$18:$H$87=B104)/('Project SqFt'!$I$18:$I$87=C104),'Project SqFt'!$L$18:$L$87)),LOOKUP(2,1/('Project SqFt'!$P$18:$P$78=B104)/('Project SqFt'!$Q$18:$Q$78=C104),'Project SqFt'!$T$18:$T$87))),"")</f>
        <v/>
      </c>
      <c r="E104" s="753"/>
      <c r="F104" s="753"/>
      <c r="G104" s="860"/>
      <c r="H104" s="1164"/>
      <c r="I104" s="861"/>
      <c r="J104" s="926" t="str">
        <f t="shared" si="4"/>
        <v/>
      </c>
      <c r="K104" s="926"/>
      <c r="L104" s="926"/>
      <c r="M104" s="29"/>
      <c r="N104" s="489"/>
      <c r="O104" s="29"/>
      <c r="P104" s="489"/>
      <c r="Q104" s="29"/>
      <c r="R104" s="29"/>
      <c r="S104" s="489"/>
      <c r="U104" s="147" t="str">
        <f t="shared" si="5"/>
        <v/>
      </c>
      <c r="V104" s="147" t="str">
        <f t="shared" si="6"/>
        <v/>
      </c>
      <c r="W104" s="147" t="str">
        <f t="shared" si="7"/>
        <v/>
      </c>
    </row>
    <row r="105" spans="1:23" hidden="1" x14ac:dyDescent="0.25">
      <c r="A105" s="147">
        <v>65</v>
      </c>
      <c r="B105" s="29"/>
      <c r="C105" s="29"/>
      <c r="D105" s="194" t="str" cm="1">
        <f t="array" ref="D105">IFERROR(IF(IFERROR(_xlfn.IFNA(LOOKUP(2,1/('Project SqFt'!$A$18:$A$87=B105)/('Project SqFt'!$B$18:$B$87=C105),'Project SqFt'!$D$18:$D$87),LOOKUP(2,1/('Project SqFt'!$H$18:$H$87=B105)/('Project SqFt'!$I$18:$I$87=C105),'Project SqFt'!$L$18:$L$87)),LOOKUP(2,1/('Project SqFt'!$P$18:$P$78=B105)/('Project SqFt'!$Q$18:$Q$78=C105),'Project SqFt'!$T$18:$T$87))="","",IFERROR(_xlfn.IFNA(LOOKUP(2,1/('Project SqFt'!$A$18:$A$87=B105)/('Project SqFt'!$B$18:$B$87=C105),'Project SqFt'!$D$18:$D$87),LOOKUP(2,1/('Project SqFt'!$H$18:$H$87=B105)/('Project SqFt'!$I$18:$I$87=C105),'Project SqFt'!$L$18:$L$87)),LOOKUP(2,1/('Project SqFt'!$P$18:$P$78=B105)/('Project SqFt'!$Q$18:$Q$78=C105),'Project SqFt'!$T$18:$T$87))),"")</f>
        <v/>
      </c>
      <c r="E105" s="753"/>
      <c r="F105" s="753"/>
      <c r="G105" s="860"/>
      <c r="H105" s="1164"/>
      <c r="I105" s="861"/>
      <c r="J105" s="926" t="str">
        <f t="shared" si="4"/>
        <v/>
      </c>
      <c r="K105" s="926"/>
      <c r="L105" s="926"/>
      <c r="M105" s="29"/>
      <c r="N105" s="489"/>
      <c r="O105" s="29"/>
      <c r="P105" s="489"/>
      <c r="Q105" s="29"/>
      <c r="R105" s="29"/>
      <c r="S105" s="489"/>
      <c r="U105" s="147" t="str">
        <f t="shared" si="5"/>
        <v/>
      </c>
      <c r="V105" s="147" t="str">
        <f t="shared" si="6"/>
        <v/>
      </c>
      <c r="W105" s="147" t="str">
        <f t="shared" si="7"/>
        <v/>
      </c>
    </row>
    <row r="106" spans="1:23" hidden="1" x14ac:dyDescent="0.25">
      <c r="A106" s="147">
        <v>66</v>
      </c>
      <c r="B106" s="29"/>
      <c r="C106" s="29"/>
      <c r="D106" s="194" t="str" cm="1">
        <f t="array" ref="D106">IFERROR(IF(IFERROR(_xlfn.IFNA(LOOKUP(2,1/('Project SqFt'!$A$18:$A$87=B106)/('Project SqFt'!$B$18:$B$87=C106),'Project SqFt'!$D$18:$D$87),LOOKUP(2,1/('Project SqFt'!$H$18:$H$87=B106)/('Project SqFt'!$I$18:$I$87=C106),'Project SqFt'!$L$18:$L$87)),LOOKUP(2,1/('Project SqFt'!$P$18:$P$78=B106)/('Project SqFt'!$Q$18:$Q$78=C106),'Project SqFt'!$T$18:$T$87))="","",IFERROR(_xlfn.IFNA(LOOKUP(2,1/('Project SqFt'!$A$18:$A$87=B106)/('Project SqFt'!$B$18:$B$87=C106),'Project SqFt'!$D$18:$D$87),LOOKUP(2,1/('Project SqFt'!$H$18:$H$87=B106)/('Project SqFt'!$I$18:$I$87=C106),'Project SqFt'!$L$18:$L$87)),LOOKUP(2,1/('Project SqFt'!$P$18:$P$78=B106)/('Project SqFt'!$Q$18:$Q$78=C106),'Project SqFt'!$T$18:$T$87))),"")</f>
        <v/>
      </c>
      <c r="E106" s="753"/>
      <c r="F106" s="753"/>
      <c r="G106" s="860"/>
      <c r="H106" s="1164"/>
      <c r="I106" s="861"/>
      <c r="J106" s="926" t="str">
        <f t="shared" si="4"/>
        <v/>
      </c>
      <c r="K106" s="926"/>
      <c r="L106" s="926"/>
      <c r="M106" s="29"/>
      <c r="N106" s="489"/>
      <c r="O106" s="29"/>
      <c r="P106" s="489"/>
      <c r="Q106" s="29"/>
      <c r="R106" s="29"/>
      <c r="S106" s="489"/>
      <c r="U106" s="147" t="str">
        <f t="shared" si="5"/>
        <v/>
      </c>
      <c r="V106" s="147" t="str">
        <f t="shared" si="6"/>
        <v/>
      </c>
      <c r="W106" s="147" t="str">
        <f t="shared" si="7"/>
        <v/>
      </c>
    </row>
    <row r="107" spans="1:23" hidden="1" x14ac:dyDescent="0.25">
      <c r="A107" s="147">
        <v>67</v>
      </c>
      <c r="B107" s="29"/>
      <c r="C107" s="29"/>
      <c r="D107" s="194" t="str" cm="1">
        <f t="array" ref="D107">IFERROR(IF(IFERROR(_xlfn.IFNA(LOOKUP(2,1/('Project SqFt'!$A$18:$A$87=B107)/('Project SqFt'!$B$18:$B$87=C107),'Project SqFt'!$D$18:$D$87),LOOKUP(2,1/('Project SqFt'!$H$18:$H$87=B107)/('Project SqFt'!$I$18:$I$87=C107),'Project SqFt'!$L$18:$L$87)),LOOKUP(2,1/('Project SqFt'!$P$18:$P$78=B107)/('Project SqFt'!$Q$18:$Q$78=C107),'Project SqFt'!$T$18:$T$87))="","",IFERROR(_xlfn.IFNA(LOOKUP(2,1/('Project SqFt'!$A$18:$A$87=B107)/('Project SqFt'!$B$18:$B$87=C107),'Project SqFt'!$D$18:$D$87),LOOKUP(2,1/('Project SqFt'!$H$18:$H$87=B107)/('Project SqFt'!$I$18:$I$87=C107),'Project SqFt'!$L$18:$L$87)),LOOKUP(2,1/('Project SqFt'!$P$18:$P$78=B107)/('Project SqFt'!$Q$18:$Q$78=C107),'Project SqFt'!$T$18:$T$87))),"")</f>
        <v/>
      </c>
      <c r="E107" s="753"/>
      <c r="F107" s="753"/>
      <c r="G107" s="860"/>
      <c r="H107" s="1164"/>
      <c r="I107" s="861"/>
      <c r="J107" s="926" t="str">
        <f t="shared" si="4"/>
        <v/>
      </c>
      <c r="K107" s="926"/>
      <c r="L107" s="926"/>
      <c r="M107" s="29"/>
      <c r="N107" s="489"/>
      <c r="O107" s="29"/>
      <c r="P107" s="489"/>
      <c r="Q107" s="29"/>
      <c r="R107" s="29"/>
      <c r="S107" s="489"/>
      <c r="U107" s="147" t="str">
        <f t="shared" si="5"/>
        <v/>
      </c>
      <c r="V107" s="147" t="str">
        <f t="shared" si="6"/>
        <v/>
      </c>
      <c r="W107" s="147" t="str">
        <f t="shared" si="7"/>
        <v/>
      </c>
    </row>
    <row r="108" spans="1:23" hidden="1" x14ac:dyDescent="0.25">
      <c r="A108" s="147">
        <v>68</v>
      </c>
      <c r="B108" s="29"/>
      <c r="C108" s="29"/>
      <c r="D108" s="194" t="str" cm="1">
        <f t="array" ref="D108">IFERROR(IF(IFERROR(_xlfn.IFNA(LOOKUP(2,1/('Project SqFt'!$A$18:$A$87=B108)/('Project SqFt'!$B$18:$B$87=C108),'Project SqFt'!$D$18:$D$87),LOOKUP(2,1/('Project SqFt'!$H$18:$H$87=B108)/('Project SqFt'!$I$18:$I$87=C108),'Project SqFt'!$L$18:$L$87)),LOOKUP(2,1/('Project SqFt'!$P$18:$P$78=B108)/('Project SqFt'!$Q$18:$Q$78=C108),'Project SqFt'!$T$18:$T$87))="","",IFERROR(_xlfn.IFNA(LOOKUP(2,1/('Project SqFt'!$A$18:$A$87=B108)/('Project SqFt'!$B$18:$B$87=C108),'Project SqFt'!$D$18:$D$87),LOOKUP(2,1/('Project SqFt'!$H$18:$H$87=B108)/('Project SqFt'!$I$18:$I$87=C108),'Project SqFt'!$L$18:$L$87)),LOOKUP(2,1/('Project SqFt'!$P$18:$P$78=B108)/('Project SqFt'!$Q$18:$Q$78=C108),'Project SqFt'!$T$18:$T$87))),"")</f>
        <v/>
      </c>
      <c r="E108" s="753"/>
      <c r="F108" s="753"/>
      <c r="G108" s="860"/>
      <c r="H108" s="1164"/>
      <c r="I108" s="861"/>
      <c r="J108" s="926" t="str">
        <f t="shared" si="4"/>
        <v/>
      </c>
      <c r="K108" s="926"/>
      <c r="L108" s="926"/>
      <c r="M108" s="29"/>
      <c r="N108" s="489"/>
      <c r="O108" s="29"/>
      <c r="P108" s="489"/>
      <c r="Q108" s="29"/>
      <c r="R108" s="29"/>
      <c r="S108" s="489"/>
      <c r="U108" s="147" t="str">
        <f t="shared" si="5"/>
        <v/>
      </c>
      <c r="V108" s="147" t="str">
        <f t="shared" si="6"/>
        <v/>
      </c>
      <c r="W108" s="147" t="str">
        <f t="shared" si="7"/>
        <v/>
      </c>
    </row>
    <row r="109" spans="1:23" hidden="1" x14ac:dyDescent="0.25">
      <c r="A109" s="147">
        <v>69</v>
      </c>
      <c r="B109" s="29"/>
      <c r="C109" s="29"/>
      <c r="D109" s="194" t="str" cm="1">
        <f t="array" ref="D109">IFERROR(IF(IFERROR(_xlfn.IFNA(LOOKUP(2,1/('Project SqFt'!$A$18:$A$87=B109)/('Project SqFt'!$B$18:$B$87=C109),'Project SqFt'!$D$18:$D$87),LOOKUP(2,1/('Project SqFt'!$H$18:$H$87=B109)/('Project SqFt'!$I$18:$I$87=C109),'Project SqFt'!$L$18:$L$87)),LOOKUP(2,1/('Project SqFt'!$P$18:$P$78=B109)/('Project SqFt'!$Q$18:$Q$78=C109),'Project SqFt'!$T$18:$T$87))="","",IFERROR(_xlfn.IFNA(LOOKUP(2,1/('Project SqFt'!$A$18:$A$87=B109)/('Project SqFt'!$B$18:$B$87=C109),'Project SqFt'!$D$18:$D$87),LOOKUP(2,1/('Project SqFt'!$H$18:$H$87=B109)/('Project SqFt'!$I$18:$I$87=C109),'Project SqFt'!$L$18:$L$87)),LOOKUP(2,1/('Project SqFt'!$P$18:$P$78=B109)/('Project SqFt'!$Q$18:$Q$78=C109),'Project SqFt'!$T$18:$T$87))),"")</f>
        <v/>
      </c>
      <c r="E109" s="753"/>
      <c r="F109" s="753"/>
      <c r="G109" s="860"/>
      <c r="H109" s="1164"/>
      <c r="I109" s="861"/>
      <c r="J109" s="926" t="str">
        <f t="shared" si="4"/>
        <v/>
      </c>
      <c r="K109" s="926"/>
      <c r="L109" s="926"/>
      <c r="M109" s="29"/>
      <c r="N109" s="489"/>
      <c r="O109" s="29"/>
      <c r="P109" s="489"/>
      <c r="Q109" s="29"/>
      <c r="R109" s="29"/>
      <c r="S109" s="489"/>
      <c r="U109" s="147" t="str">
        <f t="shared" si="5"/>
        <v/>
      </c>
      <c r="V109" s="147" t="str">
        <f t="shared" si="6"/>
        <v/>
      </c>
      <c r="W109" s="147" t="str">
        <f t="shared" si="7"/>
        <v/>
      </c>
    </row>
    <row r="110" spans="1:23" hidden="1" x14ac:dyDescent="0.25">
      <c r="A110" s="147">
        <v>70</v>
      </c>
      <c r="B110" s="29"/>
      <c r="C110" s="29"/>
      <c r="D110" s="194" t="str" cm="1">
        <f t="array" ref="D110">IFERROR(IF(IFERROR(_xlfn.IFNA(LOOKUP(2,1/('Project SqFt'!$A$18:$A$87=B110)/('Project SqFt'!$B$18:$B$87=C110),'Project SqFt'!$D$18:$D$87),LOOKUP(2,1/('Project SqFt'!$H$18:$H$87=B110)/('Project SqFt'!$I$18:$I$87=C110),'Project SqFt'!$L$18:$L$87)),LOOKUP(2,1/('Project SqFt'!$P$18:$P$78=B110)/('Project SqFt'!$Q$18:$Q$78=C110),'Project SqFt'!$T$18:$T$87))="","",IFERROR(_xlfn.IFNA(LOOKUP(2,1/('Project SqFt'!$A$18:$A$87=B110)/('Project SqFt'!$B$18:$B$87=C110),'Project SqFt'!$D$18:$D$87),LOOKUP(2,1/('Project SqFt'!$H$18:$H$87=B110)/('Project SqFt'!$I$18:$I$87=C110),'Project SqFt'!$L$18:$L$87)),LOOKUP(2,1/('Project SqFt'!$P$18:$P$78=B110)/('Project SqFt'!$Q$18:$Q$78=C110),'Project SqFt'!$T$18:$T$87))),"")</f>
        <v/>
      </c>
      <c r="E110" s="753"/>
      <c r="F110" s="753"/>
      <c r="G110" s="860"/>
      <c r="H110" s="1164"/>
      <c r="I110" s="861"/>
      <c r="J110" s="926" t="str">
        <f t="shared" si="4"/>
        <v/>
      </c>
      <c r="K110" s="926"/>
      <c r="L110" s="926"/>
      <c r="M110" s="29"/>
      <c r="N110" s="489"/>
      <c r="O110" s="29"/>
      <c r="P110" s="489"/>
      <c r="Q110" s="29"/>
      <c r="R110" s="29"/>
      <c r="S110" s="489"/>
      <c r="U110" s="147" t="str">
        <f t="shared" si="5"/>
        <v/>
      </c>
      <c r="V110" s="147" t="str">
        <f t="shared" si="6"/>
        <v/>
      </c>
      <c r="W110" s="147" t="str">
        <f t="shared" si="7"/>
        <v/>
      </c>
    </row>
    <row r="111" spans="1:23" hidden="1" x14ac:dyDescent="0.25">
      <c r="A111" s="147">
        <v>71</v>
      </c>
      <c r="B111" s="29"/>
      <c r="C111" s="29"/>
      <c r="D111" s="194" t="str" cm="1">
        <f t="array" ref="D111">IFERROR(IF(IFERROR(_xlfn.IFNA(LOOKUP(2,1/('Project SqFt'!$A$18:$A$87=B111)/('Project SqFt'!$B$18:$B$87=C111),'Project SqFt'!$D$18:$D$87),LOOKUP(2,1/('Project SqFt'!$H$18:$H$87=B111)/('Project SqFt'!$I$18:$I$87=C111),'Project SqFt'!$L$18:$L$87)),LOOKUP(2,1/('Project SqFt'!$P$18:$P$78=B111)/('Project SqFt'!$Q$18:$Q$78=C111),'Project SqFt'!$T$18:$T$87))="","",IFERROR(_xlfn.IFNA(LOOKUP(2,1/('Project SqFt'!$A$18:$A$87=B111)/('Project SqFt'!$B$18:$B$87=C111),'Project SqFt'!$D$18:$D$87),LOOKUP(2,1/('Project SqFt'!$H$18:$H$87=B111)/('Project SqFt'!$I$18:$I$87=C111),'Project SqFt'!$L$18:$L$87)),LOOKUP(2,1/('Project SqFt'!$P$18:$P$78=B111)/('Project SqFt'!$Q$18:$Q$78=C111),'Project SqFt'!$T$18:$T$87))),"")</f>
        <v/>
      </c>
      <c r="E111" s="753"/>
      <c r="F111" s="753"/>
      <c r="G111" s="860"/>
      <c r="H111" s="1164"/>
      <c r="I111" s="861"/>
      <c r="J111" s="926" t="str">
        <f t="shared" si="4"/>
        <v/>
      </c>
      <c r="K111" s="926"/>
      <c r="L111" s="926"/>
      <c r="M111" s="29"/>
      <c r="N111" s="489"/>
      <c r="O111" s="29"/>
      <c r="P111" s="489"/>
      <c r="Q111" s="29"/>
      <c r="R111" s="29"/>
      <c r="S111" s="489"/>
      <c r="U111" s="147" t="str">
        <f t="shared" si="5"/>
        <v/>
      </c>
      <c r="V111" s="147" t="str">
        <f t="shared" si="6"/>
        <v/>
      </c>
      <c r="W111" s="147" t="str">
        <f t="shared" si="7"/>
        <v/>
      </c>
    </row>
    <row r="112" spans="1:23" hidden="1" x14ac:dyDescent="0.25">
      <c r="A112" s="147">
        <v>72</v>
      </c>
      <c r="B112" s="29"/>
      <c r="C112" s="29"/>
      <c r="D112" s="194" t="str" cm="1">
        <f t="array" ref="D112">IFERROR(IF(IFERROR(_xlfn.IFNA(LOOKUP(2,1/('Project SqFt'!$A$18:$A$87=B112)/('Project SqFt'!$B$18:$B$87=C112),'Project SqFt'!$D$18:$D$87),LOOKUP(2,1/('Project SqFt'!$H$18:$H$87=B112)/('Project SqFt'!$I$18:$I$87=C112),'Project SqFt'!$L$18:$L$87)),LOOKUP(2,1/('Project SqFt'!$P$18:$P$78=B112)/('Project SqFt'!$Q$18:$Q$78=C112),'Project SqFt'!$T$18:$T$87))="","",IFERROR(_xlfn.IFNA(LOOKUP(2,1/('Project SqFt'!$A$18:$A$87=B112)/('Project SqFt'!$B$18:$B$87=C112),'Project SqFt'!$D$18:$D$87),LOOKUP(2,1/('Project SqFt'!$H$18:$H$87=B112)/('Project SqFt'!$I$18:$I$87=C112),'Project SqFt'!$L$18:$L$87)),LOOKUP(2,1/('Project SqFt'!$P$18:$P$78=B112)/('Project SqFt'!$Q$18:$Q$78=C112),'Project SqFt'!$T$18:$T$87))),"")</f>
        <v/>
      </c>
      <c r="E112" s="753"/>
      <c r="F112" s="753"/>
      <c r="G112" s="860"/>
      <c r="H112" s="1164"/>
      <c r="I112" s="861"/>
      <c r="J112" s="926" t="str">
        <f t="shared" si="4"/>
        <v/>
      </c>
      <c r="K112" s="926"/>
      <c r="L112" s="926"/>
      <c r="M112" s="29"/>
      <c r="N112" s="489"/>
      <c r="O112" s="29"/>
      <c r="P112" s="489"/>
      <c r="Q112" s="29"/>
      <c r="R112" s="29"/>
      <c r="S112" s="489"/>
      <c r="U112" s="147" t="str">
        <f t="shared" si="5"/>
        <v/>
      </c>
      <c r="V112" s="147" t="str">
        <f t="shared" si="6"/>
        <v/>
      </c>
      <c r="W112" s="147" t="str">
        <f t="shared" si="7"/>
        <v/>
      </c>
    </row>
    <row r="113" spans="1:28" hidden="1" x14ac:dyDescent="0.25">
      <c r="A113" s="147">
        <v>73</v>
      </c>
      <c r="B113" s="29"/>
      <c r="C113" s="29"/>
      <c r="D113" s="194" t="str" cm="1">
        <f t="array" ref="D113">IFERROR(IF(IFERROR(_xlfn.IFNA(LOOKUP(2,1/('Project SqFt'!$A$18:$A$87=B113)/('Project SqFt'!$B$18:$B$87=C113),'Project SqFt'!$D$18:$D$87),LOOKUP(2,1/('Project SqFt'!$H$18:$H$87=B113)/('Project SqFt'!$I$18:$I$87=C113),'Project SqFt'!$L$18:$L$87)),LOOKUP(2,1/('Project SqFt'!$P$18:$P$78=B113)/('Project SqFt'!$Q$18:$Q$78=C113),'Project SqFt'!$T$18:$T$87))="","",IFERROR(_xlfn.IFNA(LOOKUP(2,1/('Project SqFt'!$A$18:$A$87=B113)/('Project SqFt'!$B$18:$B$87=C113),'Project SqFt'!$D$18:$D$87),LOOKUP(2,1/('Project SqFt'!$H$18:$H$87=B113)/('Project SqFt'!$I$18:$I$87=C113),'Project SqFt'!$L$18:$L$87)),LOOKUP(2,1/('Project SqFt'!$P$18:$P$78=B113)/('Project SqFt'!$Q$18:$Q$78=C113),'Project SqFt'!$T$18:$T$87))),"")</f>
        <v/>
      </c>
      <c r="E113" s="753"/>
      <c r="F113" s="753"/>
      <c r="G113" s="860"/>
      <c r="H113" s="1164"/>
      <c r="I113" s="861"/>
      <c r="J113" s="926" t="str">
        <f t="shared" si="4"/>
        <v/>
      </c>
      <c r="K113" s="926"/>
      <c r="L113" s="926"/>
      <c r="M113" s="29"/>
      <c r="N113" s="489"/>
      <c r="O113" s="29"/>
      <c r="P113" s="489"/>
      <c r="Q113" s="29"/>
      <c r="R113" s="29"/>
      <c r="S113" s="489"/>
      <c r="U113" s="147" t="str">
        <f t="shared" si="5"/>
        <v/>
      </c>
      <c r="V113" s="147" t="str">
        <f t="shared" si="6"/>
        <v/>
      </c>
      <c r="W113" s="147" t="str">
        <f t="shared" si="7"/>
        <v/>
      </c>
    </row>
    <row r="114" spans="1:28" hidden="1" x14ac:dyDescent="0.25">
      <c r="A114" s="147">
        <v>74</v>
      </c>
      <c r="B114" s="29"/>
      <c r="C114" s="29"/>
      <c r="D114" s="194" t="str" cm="1">
        <f t="array" ref="D114">IFERROR(IF(IFERROR(_xlfn.IFNA(LOOKUP(2,1/('Project SqFt'!$A$18:$A$87=B114)/('Project SqFt'!$B$18:$B$87=C114),'Project SqFt'!$D$18:$D$87),LOOKUP(2,1/('Project SqFt'!$H$18:$H$87=B114)/('Project SqFt'!$I$18:$I$87=C114),'Project SqFt'!$L$18:$L$87)),LOOKUP(2,1/('Project SqFt'!$P$18:$P$78=B114)/('Project SqFt'!$Q$18:$Q$78=C114),'Project SqFt'!$T$18:$T$87))="","",IFERROR(_xlfn.IFNA(LOOKUP(2,1/('Project SqFt'!$A$18:$A$87=B114)/('Project SqFt'!$B$18:$B$87=C114),'Project SqFt'!$D$18:$D$87),LOOKUP(2,1/('Project SqFt'!$H$18:$H$87=B114)/('Project SqFt'!$I$18:$I$87=C114),'Project SqFt'!$L$18:$L$87)),LOOKUP(2,1/('Project SqFt'!$P$18:$P$78=B114)/('Project SqFt'!$Q$18:$Q$78=C114),'Project SqFt'!$T$18:$T$87))),"")</f>
        <v/>
      </c>
      <c r="E114" s="753"/>
      <c r="F114" s="753"/>
      <c r="G114" s="860"/>
      <c r="H114" s="1164"/>
      <c r="I114" s="861"/>
      <c r="J114" s="926" t="str">
        <f t="shared" si="4"/>
        <v/>
      </c>
      <c r="K114" s="926"/>
      <c r="L114" s="926"/>
      <c r="M114" s="29"/>
      <c r="N114" s="489"/>
      <c r="O114" s="29"/>
      <c r="P114" s="489"/>
      <c r="Q114" s="29"/>
      <c r="R114" s="29"/>
      <c r="S114" s="489"/>
      <c r="U114" s="147" t="str">
        <f t="shared" si="5"/>
        <v/>
      </c>
      <c r="V114" s="147" t="str">
        <f t="shared" si="6"/>
        <v/>
      </c>
      <c r="W114" s="147" t="str">
        <f t="shared" si="7"/>
        <v/>
      </c>
    </row>
    <row r="115" spans="1:28" hidden="1" x14ac:dyDescent="0.25">
      <c r="A115" s="147">
        <v>75</v>
      </c>
      <c r="B115" s="29"/>
      <c r="C115" s="29"/>
      <c r="D115" s="194" t="str" cm="1">
        <f t="array" ref="D115">IFERROR(IF(IFERROR(_xlfn.IFNA(LOOKUP(2,1/('Project SqFt'!$A$18:$A$87=B115)/('Project SqFt'!$B$18:$B$87=C115),'Project SqFt'!$D$18:$D$87),LOOKUP(2,1/('Project SqFt'!$H$18:$H$87=B115)/('Project SqFt'!$I$18:$I$87=C115),'Project SqFt'!$L$18:$L$87)),LOOKUP(2,1/('Project SqFt'!$P$18:$P$78=B115)/('Project SqFt'!$Q$18:$Q$78=C115),'Project SqFt'!$T$18:$T$87))="","",IFERROR(_xlfn.IFNA(LOOKUP(2,1/('Project SqFt'!$A$18:$A$87=B115)/('Project SqFt'!$B$18:$B$87=C115),'Project SqFt'!$D$18:$D$87),LOOKUP(2,1/('Project SqFt'!$H$18:$H$87=B115)/('Project SqFt'!$I$18:$I$87=C115),'Project SqFt'!$L$18:$L$87)),LOOKUP(2,1/('Project SqFt'!$P$18:$P$78=B115)/('Project SqFt'!$Q$18:$Q$78=C115),'Project SqFt'!$T$18:$T$87))),"")</f>
        <v/>
      </c>
      <c r="E115" s="753"/>
      <c r="F115" s="753"/>
      <c r="G115" s="860"/>
      <c r="H115" s="1164"/>
      <c r="I115" s="861"/>
      <c r="J115" s="926" t="str">
        <f t="shared" si="4"/>
        <v/>
      </c>
      <c r="K115" s="926"/>
      <c r="L115" s="926"/>
      <c r="M115" s="29"/>
      <c r="N115" s="489"/>
      <c r="O115" s="29"/>
      <c r="P115" s="489"/>
      <c r="Q115" s="29"/>
      <c r="R115" s="29"/>
      <c r="S115" s="489"/>
      <c r="U115" s="147" t="str">
        <f t="shared" si="5"/>
        <v/>
      </c>
      <c r="V115" s="147" t="str">
        <f t="shared" si="6"/>
        <v/>
      </c>
      <c r="W115" s="147" t="str">
        <f t="shared" si="7"/>
        <v/>
      </c>
    </row>
    <row r="116" spans="1:28" hidden="1" x14ac:dyDescent="0.25">
      <c r="A116" s="147">
        <v>76</v>
      </c>
      <c r="B116" s="29"/>
      <c r="C116" s="29"/>
      <c r="D116" s="194" t="str" cm="1">
        <f t="array" ref="D116">IFERROR(IF(IFERROR(_xlfn.IFNA(LOOKUP(2,1/('Project SqFt'!$A$18:$A$87=B116)/('Project SqFt'!$B$18:$B$87=C116),'Project SqFt'!$D$18:$D$87),LOOKUP(2,1/('Project SqFt'!$H$18:$H$87=B116)/('Project SqFt'!$I$18:$I$87=C116),'Project SqFt'!$L$18:$L$87)),LOOKUP(2,1/('Project SqFt'!$P$18:$P$78=B116)/('Project SqFt'!$Q$18:$Q$78=C116),'Project SqFt'!$T$18:$T$87))="","",IFERROR(_xlfn.IFNA(LOOKUP(2,1/('Project SqFt'!$A$18:$A$87=B116)/('Project SqFt'!$B$18:$B$87=C116),'Project SqFt'!$D$18:$D$87),LOOKUP(2,1/('Project SqFt'!$H$18:$H$87=B116)/('Project SqFt'!$I$18:$I$87=C116),'Project SqFt'!$L$18:$L$87)),LOOKUP(2,1/('Project SqFt'!$P$18:$P$78=B116)/('Project SqFt'!$Q$18:$Q$78=C116),'Project SqFt'!$T$18:$T$87))),"")</f>
        <v/>
      </c>
      <c r="E116" s="753"/>
      <c r="F116" s="753"/>
      <c r="G116" s="860"/>
      <c r="H116" s="1164"/>
      <c r="I116" s="861"/>
      <c r="J116" s="926" t="str">
        <f t="shared" si="4"/>
        <v/>
      </c>
      <c r="K116" s="926"/>
      <c r="L116" s="926"/>
      <c r="M116" s="29"/>
      <c r="N116" s="489"/>
      <c r="O116" s="29"/>
      <c r="P116" s="489"/>
      <c r="Q116" s="29"/>
      <c r="R116" s="29"/>
      <c r="S116" s="489"/>
      <c r="U116" s="147" t="str">
        <f t="shared" si="5"/>
        <v/>
      </c>
      <c r="V116" s="147" t="str">
        <f t="shared" si="6"/>
        <v/>
      </c>
      <c r="W116" s="147" t="str">
        <f t="shared" si="7"/>
        <v/>
      </c>
    </row>
    <row r="117" spans="1:28" hidden="1" x14ac:dyDescent="0.25">
      <c r="A117" s="147">
        <v>77</v>
      </c>
      <c r="B117" s="29"/>
      <c r="C117" s="29"/>
      <c r="D117" s="194" t="str" cm="1">
        <f t="array" ref="D117">IFERROR(IF(IFERROR(_xlfn.IFNA(LOOKUP(2,1/('Project SqFt'!$A$18:$A$87=B117)/('Project SqFt'!$B$18:$B$87=C117),'Project SqFt'!$D$18:$D$87),LOOKUP(2,1/('Project SqFt'!$H$18:$H$87=B117)/('Project SqFt'!$I$18:$I$87=C117),'Project SqFt'!$L$18:$L$87)),LOOKUP(2,1/('Project SqFt'!$P$18:$P$78=B117)/('Project SqFt'!$Q$18:$Q$78=C117),'Project SqFt'!$T$18:$T$87))="","",IFERROR(_xlfn.IFNA(LOOKUP(2,1/('Project SqFt'!$A$18:$A$87=B117)/('Project SqFt'!$B$18:$B$87=C117),'Project SqFt'!$D$18:$D$87),LOOKUP(2,1/('Project SqFt'!$H$18:$H$87=B117)/('Project SqFt'!$I$18:$I$87=C117),'Project SqFt'!$L$18:$L$87)),LOOKUP(2,1/('Project SqFt'!$P$18:$P$78=B117)/('Project SqFt'!$Q$18:$Q$78=C117),'Project SqFt'!$T$18:$T$87))),"")</f>
        <v/>
      </c>
      <c r="E117" s="753"/>
      <c r="F117" s="753"/>
      <c r="G117" s="860"/>
      <c r="H117" s="1164"/>
      <c r="I117" s="861"/>
      <c r="J117" s="926" t="str">
        <f t="shared" si="4"/>
        <v/>
      </c>
      <c r="K117" s="926"/>
      <c r="L117" s="926"/>
      <c r="M117" s="29"/>
      <c r="N117" s="489"/>
      <c r="O117" s="29"/>
      <c r="P117" s="489"/>
      <c r="Q117" s="29"/>
      <c r="R117" s="29"/>
      <c r="S117" s="489"/>
      <c r="U117" s="147" t="str">
        <f t="shared" si="5"/>
        <v/>
      </c>
      <c r="V117" s="147" t="str">
        <f t="shared" si="6"/>
        <v/>
      </c>
      <c r="W117" s="147" t="str">
        <f t="shared" si="7"/>
        <v/>
      </c>
    </row>
    <row r="118" spans="1:28" hidden="1" x14ac:dyDescent="0.25">
      <c r="A118" s="147">
        <v>78</v>
      </c>
      <c r="B118" s="29"/>
      <c r="C118" s="29"/>
      <c r="D118" s="194" t="str" cm="1">
        <f t="array" ref="D118">IFERROR(IF(IFERROR(_xlfn.IFNA(LOOKUP(2,1/('Project SqFt'!$A$18:$A$87=B118)/('Project SqFt'!$B$18:$B$87=C118),'Project SqFt'!$D$18:$D$87),LOOKUP(2,1/('Project SqFt'!$H$18:$H$87=B118)/('Project SqFt'!$I$18:$I$87=C118),'Project SqFt'!$L$18:$L$87)),LOOKUP(2,1/('Project SqFt'!$P$18:$P$78=B118)/('Project SqFt'!$Q$18:$Q$78=C118),'Project SqFt'!$T$18:$T$87))="","",IFERROR(_xlfn.IFNA(LOOKUP(2,1/('Project SqFt'!$A$18:$A$87=B118)/('Project SqFt'!$B$18:$B$87=C118),'Project SqFt'!$D$18:$D$87),LOOKUP(2,1/('Project SqFt'!$H$18:$H$87=B118)/('Project SqFt'!$I$18:$I$87=C118),'Project SqFt'!$L$18:$L$87)),LOOKUP(2,1/('Project SqFt'!$P$18:$P$78=B118)/('Project SqFt'!$Q$18:$Q$78=C118),'Project SqFt'!$T$18:$T$87))),"")</f>
        <v/>
      </c>
      <c r="E118" s="753"/>
      <c r="F118" s="753"/>
      <c r="G118" s="860"/>
      <c r="H118" s="1164"/>
      <c r="I118" s="861"/>
      <c r="J118" s="926" t="str">
        <f t="shared" si="4"/>
        <v/>
      </c>
      <c r="K118" s="926"/>
      <c r="L118" s="926"/>
      <c r="M118" s="29"/>
      <c r="N118" s="489"/>
      <c r="O118" s="29"/>
      <c r="P118" s="489"/>
      <c r="Q118" s="29"/>
      <c r="R118" s="29"/>
      <c r="S118" s="489"/>
      <c r="U118" s="147" t="str">
        <f t="shared" si="5"/>
        <v/>
      </c>
      <c r="V118" s="147" t="str">
        <f t="shared" si="6"/>
        <v/>
      </c>
      <c r="W118" s="147" t="str">
        <f t="shared" si="7"/>
        <v/>
      </c>
    </row>
    <row r="119" spans="1:28" hidden="1" x14ac:dyDescent="0.25">
      <c r="A119" s="147">
        <v>79</v>
      </c>
      <c r="B119" s="29"/>
      <c r="C119" s="29"/>
      <c r="D119" s="194" t="str" cm="1">
        <f t="array" ref="D119">IFERROR(IF(IFERROR(_xlfn.IFNA(LOOKUP(2,1/('Project SqFt'!$A$18:$A$87=B119)/('Project SqFt'!$B$18:$B$87=C119),'Project SqFt'!$D$18:$D$87),LOOKUP(2,1/('Project SqFt'!$H$18:$H$87=B119)/('Project SqFt'!$I$18:$I$87=C119),'Project SqFt'!$L$18:$L$87)),LOOKUP(2,1/('Project SqFt'!$P$18:$P$78=B119)/('Project SqFt'!$Q$18:$Q$78=C119),'Project SqFt'!$T$18:$T$87))="","",IFERROR(_xlfn.IFNA(LOOKUP(2,1/('Project SqFt'!$A$18:$A$87=B119)/('Project SqFt'!$B$18:$B$87=C119),'Project SqFt'!$D$18:$D$87),LOOKUP(2,1/('Project SqFt'!$H$18:$H$87=B119)/('Project SqFt'!$I$18:$I$87=C119),'Project SqFt'!$L$18:$L$87)),LOOKUP(2,1/('Project SqFt'!$P$18:$P$78=B119)/('Project SqFt'!$Q$18:$Q$78=C119),'Project SqFt'!$T$18:$T$87))),"")</f>
        <v/>
      </c>
      <c r="E119" s="753"/>
      <c r="F119" s="753"/>
      <c r="G119" s="860"/>
      <c r="H119" s="1164"/>
      <c r="I119" s="861"/>
      <c r="J119" s="926" t="str">
        <f t="shared" si="4"/>
        <v/>
      </c>
      <c r="K119" s="926"/>
      <c r="L119" s="926"/>
      <c r="M119" s="29"/>
      <c r="N119" s="489"/>
      <c r="O119" s="29"/>
      <c r="P119" s="489"/>
      <c r="Q119" s="29"/>
      <c r="R119" s="29"/>
      <c r="S119" s="489"/>
      <c r="U119" s="147" t="str">
        <f t="shared" si="5"/>
        <v/>
      </c>
      <c r="V119" s="147" t="str">
        <f t="shared" si="6"/>
        <v/>
      </c>
      <c r="W119" s="147" t="str">
        <f t="shared" si="7"/>
        <v/>
      </c>
    </row>
    <row r="120" spans="1:28" hidden="1" x14ac:dyDescent="0.25">
      <c r="A120" s="147">
        <v>80</v>
      </c>
      <c r="B120" s="29"/>
      <c r="C120" s="29"/>
      <c r="D120" s="194" t="str" cm="1">
        <f t="array" ref="D120">IFERROR(IF(IFERROR(_xlfn.IFNA(LOOKUP(2,1/('Project SqFt'!$A$18:$A$87=B120)/('Project SqFt'!$B$18:$B$87=C120),'Project SqFt'!$D$18:$D$87),LOOKUP(2,1/('Project SqFt'!$H$18:$H$87=B120)/('Project SqFt'!$I$18:$I$87=C120),'Project SqFt'!$L$18:$L$87)),LOOKUP(2,1/('Project SqFt'!$P$18:$P$78=B120)/('Project SqFt'!$Q$18:$Q$78=C120),'Project SqFt'!$T$18:$T$87))="","",IFERROR(_xlfn.IFNA(LOOKUP(2,1/('Project SqFt'!$A$18:$A$87=B120)/('Project SqFt'!$B$18:$B$87=C120),'Project SqFt'!$D$18:$D$87),LOOKUP(2,1/('Project SqFt'!$H$18:$H$87=B120)/('Project SqFt'!$I$18:$I$87=C120),'Project SqFt'!$L$18:$L$87)),LOOKUP(2,1/('Project SqFt'!$P$18:$P$78=B120)/('Project SqFt'!$Q$18:$Q$78=C120),'Project SqFt'!$T$18:$T$87))),"")</f>
        <v/>
      </c>
      <c r="E120" s="753"/>
      <c r="F120" s="753"/>
      <c r="G120" s="860"/>
      <c r="H120" s="1164"/>
      <c r="I120" s="861"/>
      <c r="J120" s="926" t="str">
        <f t="shared" si="4"/>
        <v/>
      </c>
      <c r="K120" s="926"/>
      <c r="L120" s="926"/>
      <c r="M120" s="29"/>
      <c r="N120" s="489"/>
      <c r="O120" s="29"/>
      <c r="P120" s="489"/>
      <c r="Q120" s="29"/>
      <c r="R120" s="29"/>
      <c r="S120" s="489"/>
      <c r="U120" s="147" t="str">
        <f t="shared" si="5"/>
        <v/>
      </c>
      <c r="V120" s="147" t="str">
        <f t="shared" si="6"/>
        <v/>
      </c>
      <c r="W120" s="147" t="str">
        <f t="shared" si="7"/>
        <v/>
      </c>
    </row>
    <row r="121" spans="1:28" hidden="1" x14ac:dyDescent="0.25">
      <c r="A121" s="646"/>
      <c r="B121" s="646"/>
      <c r="C121" s="646"/>
      <c r="D121" s="646"/>
      <c r="E121" s="646"/>
      <c r="F121" s="646"/>
      <c r="G121" s="646"/>
      <c r="H121" s="646"/>
      <c r="I121" s="646"/>
      <c r="J121" s="646"/>
      <c r="K121" s="646"/>
      <c r="L121" s="646"/>
      <c r="M121" s="646"/>
      <c r="N121" s="646"/>
      <c r="O121" s="646"/>
      <c r="P121" s="646"/>
      <c r="Q121" s="646"/>
      <c r="R121" s="646"/>
      <c r="S121" s="646"/>
    </row>
    <row r="122" spans="1:28" ht="15.75" thickBot="1" x14ac:dyDescent="0.3">
      <c r="T122" s="1190" t="s">
        <v>934</v>
      </c>
      <c r="U122" s="1190"/>
      <c r="V122" s="1190"/>
      <c r="W122" s="1190"/>
      <c r="X122" s="1190"/>
      <c r="Y122" s="1190"/>
      <c r="Z122" s="1190"/>
      <c r="AA122" s="1190"/>
      <c r="AB122" s="1190"/>
    </row>
    <row r="123" spans="1:28" x14ac:dyDescent="0.25">
      <c r="T123" s="1188" t="s">
        <v>942</v>
      </c>
      <c r="U123" s="502">
        <v>1</v>
      </c>
      <c r="V123" s="502">
        <v>2</v>
      </c>
      <c r="W123" s="502">
        <v>3</v>
      </c>
      <c r="X123" s="502">
        <v>4</v>
      </c>
      <c r="Y123" s="502">
        <v>5</v>
      </c>
      <c r="Z123" s="502">
        <v>6</v>
      </c>
      <c r="AA123" s="502">
        <v>7</v>
      </c>
      <c r="AB123" s="503" t="s">
        <v>917</v>
      </c>
    </row>
    <row r="124" spans="1:28" ht="15.75" thickBot="1" x14ac:dyDescent="0.3">
      <c r="T124" s="1189"/>
      <c r="U124" s="504" t="str" cm="1">
        <f t="array" aca="1" ref="U124" ca="1">IF(OR('Project Summary'!$C$44="No",'Project Summary'!$C$44=""),"",INDIRECT("'"&amp;$U$36&amp;"'!$C$58"))</f>
        <v/>
      </c>
      <c r="V124" s="504" t="str" cm="1">
        <f t="array" aca="1" ref="V124" ca="1">IF(OR('Project Summary'!$C$44="No",'Project Summary'!$C$44=""),"",INDIRECT("'"&amp;$U$36&amp;"'!$D$58"))</f>
        <v/>
      </c>
      <c r="W124" s="505" t="str" cm="1">
        <f t="array" aca="1" ref="W124" ca="1">IF(OR('Project Summary'!$C$44="No",'Project Summary'!$C$44=""),"",INDIRECT("'"&amp;$U$36&amp;"'!$E$58"))</f>
        <v/>
      </c>
      <c r="X124" s="505" t="str" cm="1">
        <f t="array" aca="1" ref="X124" ca="1">IF(OR('Project Summary'!$C$44="No",'Project Summary'!$C$44=""),"",INDIRECT("'"&amp;$U$36&amp;"'!$F$58"))</f>
        <v/>
      </c>
      <c r="Y124" s="504" t="str" cm="1">
        <f t="array" aca="1" ref="Y124" ca="1">IF(OR('Project Summary'!$C$44="No",'Project Summary'!$C$44=""),"",INDIRECT("'"&amp;$U$36&amp;"'!$G$58"))</f>
        <v/>
      </c>
      <c r="Z124" s="504" t="str" cm="1">
        <f t="array" aca="1" ref="Z124" ca="1">IF(OR('Project Summary'!$C$44="No",'Project Summary'!$C$44=""),"",INDIRECT("'"&amp;$U$36&amp;"'!$H$58"))</f>
        <v/>
      </c>
      <c r="AA124" s="505" t="str" cm="1">
        <f t="array" aca="1" ref="AA124" ca="1">IF(OR('Project Summary'!$C$44="No",'Project Summary'!$C$44=""),"",INDIRECT("'"&amp;$U$36&amp;"'!$I$58"))</f>
        <v/>
      </c>
      <c r="AB124" s="506" t="str" cm="1">
        <f t="array" aca="1" ref="AB124" ca="1">IF(OR('Project Summary'!$C$44="No",'Project Summary'!$C$44=""),"",INDIRECT("'"&amp;$U$36&amp;"'!$J$58"))</f>
        <v/>
      </c>
    </row>
    <row r="125" spans="1:28" ht="15.75" thickBot="1" x14ac:dyDescent="0.3">
      <c r="T125" s="1190" t="s">
        <v>943</v>
      </c>
      <c r="U125" s="1190"/>
      <c r="V125" s="1190"/>
      <c r="W125" s="1190"/>
      <c r="X125" s="1190"/>
      <c r="Y125" s="1190"/>
      <c r="Z125" s="1190"/>
      <c r="AA125" s="1190"/>
      <c r="AB125" s="1190"/>
    </row>
    <row r="126" spans="1:28" x14ac:dyDescent="0.25">
      <c r="T126" s="1188" t="s">
        <v>942</v>
      </c>
      <c r="U126" s="502">
        <v>1</v>
      </c>
      <c r="V126" s="502">
        <v>2</v>
      </c>
      <c r="W126" s="502">
        <v>3</v>
      </c>
      <c r="X126" s="502">
        <v>4</v>
      </c>
      <c r="Y126" s="502">
        <v>5</v>
      </c>
      <c r="Z126" s="502">
        <v>6</v>
      </c>
      <c r="AA126" s="502">
        <v>7</v>
      </c>
      <c r="AB126" s="503" t="s">
        <v>917</v>
      </c>
    </row>
    <row r="127" spans="1:28" ht="15.75" thickBot="1" x14ac:dyDescent="0.3">
      <c r="T127" s="1189"/>
      <c r="U127" s="504" t="str">
        <f ca="1">IF($X$127="","",MROUND((($X$127*0.7+24)),50))</f>
        <v/>
      </c>
      <c r="V127" s="504" t="str">
        <f ca="1">IF($X$127="","",MROUND((($X$127*0.8+24)),50))</f>
        <v/>
      </c>
      <c r="W127" s="505" t="str">
        <f ca="1">IF($X$127="","",MROUND((($X$127*0.9+24)),50))</f>
        <v/>
      </c>
      <c r="X127" s="505" t="str">
        <f ca="1">IF('Project Summary'!C13="","",MROUND(((VLOOKUP('Project Summary'!$C$13,INDIRECT("'"&amp;$U$36&amp;"'!$A$4:$B$56"),2,FALSE)*0.6)),50))</f>
        <v/>
      </c>
      <c r="Y127" s="504" t="str">
        <f ca="1">IF($X$127="","",MROUND((($X$127*1.08+24)),50))</f>
        <v/>
      </c>
      <c r="Z127" s="504" t="str">
        <f ca="1">IF($X$127="","",MROUND(((X127*1.16+24)),50))</f>
        <v/>
      </c>
      <c r="AA127" s="505" t="str">
        <f ca="1">IF($X$127="","",MROUND(((X127*1.24+24)),50))</f>
        <v/>
      </c>
      <c r="AB127" s="506" t="str">
        <f ca="1">IF($X$127="","",MROUND(((X127*1.32+24)),50))</f>
        <v/>
      </c>
    </row>
    <row r="128" spans="1:28" ht="15.75" thickBot="1" x14ac:dyDescent="0.3">
      <c r="T128" s="300"/>
      <c r="U128" s="319"/>
      <c r="V128" s="319"/>
      <c r="W128" s="319"/>
      <c r="X128" s="319"/>
      <c r="Y128" s="319"/>
      <c r="Z128" s="319"/>
      <c r="AA128" s="319"/>
      <c r="AB128" s="319"/>
    </row>
    <row r="129" spans="20:28" x14ac:dyDescent="0.25">
      <c r="T129" s="1188" t="s">
        <v>944</v>
      </c>
      <c r="U129" s="511" t="s">
        <v>57</v>
      </c>
      <c r="V129" s="512">
        <v>1</v>
      </c>
      <c r="W129" s="512">
        <v>2</v>
      </c>
      <c r="X129" s="512">
        <v>3</v>
      </c>
      <c r="Y129" s="513">
        <v>4</v>
      </c>
      <c r="Z129" s="319"/>
      <c r="AA129" s="319"/>
      <c r="AB129" s="319"/>
    </row>
    <row r="130" spans="20:28" ht="15.75" thickBot="1" x14ac:dyDescent="0.3">
      <c r="T130" s="1189"/>
      <c r="U130" s="510" t="e">
        <f ca="1">MAX(ROUNDDOWN($U$127*0.025,0),ROUNDDOWN(U124*0.025,0))</f>
        <v>#VALUE!</v>
      </c>
      <c r="V130" s="508" t="e">
        <f ca="1">MAX(ROUNDDOWN(AVERAGE($U$127,$V$127)*0.025,0),ROUNDDOWN(AVERAGE($U$124,$V$124)*0.025,0))</f>
        <v>#DIV/0!</v>
      </c>
      <c r="W130" s="508" t="e">
        <f ca="1">MAX(ROUNDDOWN($W$127*0.025,0),ROUNDDOWN($W$124*0.025,0))</f>
        <v>#VALUE!</v>
      </c>
      <c r="X130" s="508" t="e">
        <f ca="1">MAX(ROUNDDOWN(AVERAGE($X$127,$Y$127)*0.025,0),ROUNDDOWN(AVERAGE($X$124,$Y$124)*0.025,0))</f>
        <v>#DIV/0!</v>
      </c>
      <c r="Y130" s="509" t="e">
        <f ca="1">MAX(ROUNDDOWN($Z$127*0.025,0),ROUNDDOWN($Z$124*0.025,0))</f>
        <v>#VALUE!</v>
      </c>
      <c r="Z130" s="319"/>
      <c r="AA130" s="319"/>
      <c r="AB130" s="319"/>
    </row>
    <row r="132" spans="20:28" hidden="1" x14ac:dyDescent="0.25">
      <c r="U132" s="319" t="s">
        <v>898</v>
      </c>
      <c r="V132" s="319"/>
      <c r="W132" s="319" t="s">
        <v>902</v>
      </c>
      <c r="X132" s="319" t="s">
        <v>905</v>
      </c>
      <c r="Y132" s="319" t="s">
        <v>1034</v>
      </c>
      <c r="Z132" s="319" t="s">
        <v>918</v>
      </c>
      <c r="AA132" s="319" t="s">
        <v>922</v>
      </c>
    </row>
    <row r="133" spans="20:28" hidden="1" x14ac:dyDescent="0.25">
      <c r="U133" s="420" t="s">
        <v>899</v>
      </c>
      <c r="V133" s="147" t="s">
        <v>18</v>
      </c>
      <c r="W133" s="147" t="s">
        <v>933</v>
      </c>
      <c r="X133" s="420" t="s">
        <v>906</v>
      </c>
      <c r="Y133" s="420" t="s">
        <v>1039</v>
      </c>
      <c r="Z133" s="420" t="s">
        <v>919</v>
      </c>
      <c r="AA133" s="420" t="s">
        <v>923</v>
      </c>
    </row>
    <row r="134" spans="20:28" hidden="1" x14ac:dyDescent="0.25">
      <c r="U134" s="420" t="s">
        <v>929</v>
      </c>
      <c r="V134" s="147" t="s">
        <v>19</v>
      </c>
      <c r="W134" s="147" t="s">
        <v>941</v>
      </c>
      <c r="X134" s="420" t="s">
        <v>909</v>
      </c>
      <c r="Y134" s="420" t="s">
        <v>1036</v>
      </c>
      <c r="Z134" s="420" t="s">
        <v>659</v>
      </c>
      <c r="AA134" s="420" t="s">
        <v>924</v>
      </c>
    </row>
    <row r="135" spans="20:28" hidden="1" x14ac:dyDescent="0.25">
      <c r="U135" s="420" t="s">
        <v>930</v>
      </c>
      <c r="V135" s="420"/>
      <c r="W135" s="147" t="s">
        <v>940</v>
      </c>
      <c r="X135" s="420" t="s">
        <v>907</v>
      </c>
      <c r="Y135" s="420" t="s">
        <v>1037</v>
      </c>
      <c r="Z135" s="420" t="s">
        <v>920</v>
      </c>
      <c r="AA135" s="420" t="s">
        <v>925</v>
      </c>
    </row>
    <row r="136" spans="20:28" hidden="1" x14ac:dyDescent="0.25">
      <c r="U136" s="420" t="s">
        <v>931</v>
      </c>
      <c r="V136" s="420"/>
      <c r="W136" s="420"/>
      <c r="X136" s="420" t="s">
        <v>910</v>
      </c>
      <c r="Y136" s="420" t="s">
        <v>1035</v>
      </c>
      <c r="Z136" s="420" t="s">
        <v>921</v>
      </c>
      <c r="AA136" s="420" t="s">
        <v>926</v>
      </c>
    </row>
    <row r="137" spans="20:28" hidden="1" x14ac:dyDescent="0.25">
      <c r="U137" s="420" t="s">
        <v>69</v>
      </c>
      <c r="V137" s="420"/>
      <c r="W137" s="420"/>
      <c r="X137" s="420" t="s">
        <v>911</v>
      </c>
      <c r="Y137" s="420" t="s">
        <v>1038</v>
      </c>
      <c r="Z137" s="420" t="s">
        <v>69</v>
      </c>
      <c r="AA137" s="420" t="s">
        <v>927</v>
      </c>
    </row>
    <row r="138" spans="20:28" hidden="1" x14ac:dyDescent="0.25">
      <c r="U138" s="420"/>
      <c r="V138" s="420"/>
      <c r="W138" s="420"/>
      <c r="X138" s="420" t="s">
        <v>912</v>
      </c>
      <c r="Y138" s="420"/>
      <c r="Z138" s="420"/>
      <c r="AA138" s="420" t="s">
        <v>928</v>
      </c>
    </row>
    <row r="139" spans="20:28" hidden="1" x14ac:dyDescent="0.25">
      <c r="U139" s="420"/>
      <c r="V139" s="420"/>
      <c r="W139" s="420"/>
      <c r="X139" s="420" t="s">
        <v>908</v>
      </c>
      <c r="Y139" s="420"/>
      <c r="Z139" s="420"/>
      <c r="AA139" s="420"/>
    </row>
    <row r="140" spans="20:28" hidden="1" x14ac:dyDescent="0.25">
      <c r="U140" s="420"/>
      <c r="V140" s="420"/>
      <c r="W140" s="420"/>
      <c r="X140" s="420" t="s">
        <v>913</v>
      </c>
      <c r="Y140" s="420"/>
      <c r="Z140" s="420"/>
      <c r="AA140" s="420"/>
    </row>
    <row r="141" spans="20:28" hidden="1" x14ac:dyDescent="0.25">
      <c r="U141" s="420"/>
      <c r="V141" s="420"/>
      <c r="W141" s="420"/>
      <c r="X141" s="420" t="s">
        <v>915</v>
      </c>
      <c r="Y141" s="420"/>
      <c r="Z141" s="420"/>
      <c r="AA141" s="420"/>
    </row>
    <row r="142" spans="20:28" hidden="1" x14ac:dyDescent="0.25">
      <c r="U142" s="420"/>
      <c r="V142" s="420"/>
      <c r="W142" s="420"/>
      <c r="X142" s="420" t="s">
        <v>914</v>
      </c>
      <c r="Y142" s="420"/>
      <c r="Z142" s="420"/>
      <c r="AA142" s="420"/>
    </row>
  </sheetData>
  <sortState xmlns:xlrd2="http://schemas.microsoft.com/office/spreadsheetml/2017/richdata2" ref="Y133:Y137">
    <sortCondition ref="Y133:Y137"/>
  </sortState>
  <mergeCells count="312">
    <mergeCell ref="A121:S121"/>
    <mergeCell ref="E120:F120"/>
    <mergeCell ref="G120:I120"/>
    <mergeCell ref="J120:L120"/>
    <mergeCell ref="A1:M1"/>
    <mergeCell ref="E118:F118"/>
    <mergeCell ref="G118:I118"/>
    <mergeCell ref="J118:L118"/>
    <mergeCell ref="E119:F119"/>
    <mergeCell ref="G119:I119"/>
    <mergeCell ref="J119:L119"/>
    <mergeCell ref="E116:F116"/>
    <mergeCell ref="G116:I116"/>
    <mergeCell ref="J116:L116"/>
    <mergeCell ref="E117:F117"/>
    <mergeCell ref="G117:I117"/>
    <mergeCell ref="J117:L117"/>
    <mergeCell ref="E114:F114"/>
    <mergeCell ref="G114:I114"/>
    <mergeCell ref="J114:L114"/>
    <mergeCell ref="E115:F115"/>
    <mergeCell ref="G115:I115"/>
    <mergeCell ref="J115:L115"/>
    <mergeCell ref="E112:F112"/>
    <mergeCell ref="G112:I112"/>
    <mergeCell ref="J112:L112"/>
    <mergeCell ref="E113:F113"/>
    <mergeCell ref="G113:I113"/>
    <mergeCell ref="J113:L113"/>
    <mergeCell ref="E110:F110"/>
    <mergeCell ref="G110:I110"/>
    <mergeCell ref="J110:L110"/>
    <mergeCell ref="E111:F111"/>
    <mergeCell ref="G111:I111"/>
    <mergeCell ref="J111:L111"/>
    <mergeCell ref="E108:F108"/>
    <mergeCell ref="G108:I108"/>
    <mergeCell ref="J108:L108"/>
    <mergeCell ref="E109:F109"/>
    <mergeCell ref="G109:I109"/>
    <mergeCell ref="J109:L109"/>
    <mergeCell ref="E106:F106"/>
    <mergeCell ref="G106:I106"/>
    <mergeCell ref="J106:L106"/>
    <mergeCell ref="E107:F107"/>
    <mergeCell ref="G107:I107"/>
    <mergeCell ref="J107:L107"/>
    <mergeCell ref="E104:F104"/>
    <mergeCell ref="G104:I104"/>
    <mergeCell ref="J104:L104"/>
    <mergeCell ref="E105:F105"/>
    <mergeCell ref="G105:I105"/>
    <mergeCell ref="J105:L105"/>
    <mergeCell ref="E102:F102"/>
    <mergeCell ref="G102:I102"/>
    <mergeCell ref="J102:L102"/>
    <mergeCell ref="E103:F103"/>
    <mergeCell ref="G103:I103"/>
    <mergeCell ref="J103:L103"/>
    <mergeCell ref="E100:F100"/>
    <mergeCell ref="G100:I100"/>
    <mergeCell ref="J100:L100"/>
    <mergeCell ref="E101:F101"/>
    <mergeCell ref="G101:I101"/>
    <mergeCell ref="J101:L101"/>
    <mergeCell ref="E98:F98"/>
    <mergeCell ref="G98:I98"/>
    <mergeCell ref="J98:L98"/>
    <mergeCell ref="E99:F99"/>
    <mergeCell ref="G99:I99"/>
    <mergeCell ref="J99:L99"/>
    <mergeCell ref="E96:F96"/>
    <mergeCell ref="G96:I96"/>
    <mergeCell ref="J96:L96"/>
    <mergeCell ref="E97:F97"/>
    <mergeCell ref="G97:I97"/>
    <mergeCell ref="J97:L97"/>
    <mergeCell ref="E94:F94"/>
    <mergeCell ref="G94:I94"/>
    <mergeCell ref="J94:L94"/>
    <mergeCell ref="E95:F95"/>
    <mergeCell ref="G95:I95"/>
    <mergeCell ref="J95:L95"/>
    <mergeCell ref="E92:F92"/>
    <mergeCell ref="G92:I92"/>
    <mergeCell ref="J92:L92"/>
    <mergeCell ref="E93:F93"/>
    <mergeCell ref="G93:I93"/>
    <mergeCell ref="J93:L93"/>
    <mergeCell ref="E90:F90"/>
    <mergeCell ref="G90:I90"/>
    <mergeCell ref="J90:L90"/>
    <mergeCell ref="E91:F91"/>
    <mergeCell ref="G91:I91"/>
    <mergeCell ref="J91:L91"/>
    <mergeCell ref="E88:F88"/>
    <mergeCell ref="G88:I88"/>
    <mergeCell ref="J88:L88"/>
    <mergeCell ref="E89:F89"/>
    <mergeCell ref="G89:I89"/>
    <mergeCell ref="J89:L89"/>
    <mergeCell ref="E86:F86"/>
    <mergeCell ref="G86:I86"/>
    <mergeCell ref="J86:L86"/>
    <mergeCell ref="E87:F87"/>
    <mergeCell ref="G87:I87"/>
    <mergeCell ref="J87:L87"/>
    <mergeCell ref="J84:L84"/>
    <mergeCell ref="E85:F85"/>
    <mergeCell ref="G85:I85"/>
    <mergeCell ref="J85:L85"/>
    <mergeCell ref="G81:I81"/>
    <mergeCell ref="J81:L81"/>
    <mergeCell ref="E82:F82"/>
    <mergeCell ref="G82:I82"/>
    <mergeCell ref="J82:L82"/>
    <mergeCell ref="E83:F83"/>
    <mergeCell ref="G83:I83"/>
    <mergeCell ref="J83:L83"/>
    <mergeCell ref="G48:I48"/>
    <mergeCell ref="G49:I49"/>
    <mergeCell ref="G50:I50"/>
    <mergeCell ref="G51:I51"/>
    <mergeCell ref="T129:T130"/>
    <mergeCell ref="E77:F77"/>
    <mergeCell ref="J77:L77"/>
    <mergeCell ref="T126:T127"/>
    <mergeCell ref="T123:T124"/>
    <mergeCell ref="T125:AB125"/>
    <mergeCell ref="T122:AB122"/>
    <mergeCell ref="G77:I77"/>
    <mergeCell ref="E81:F81"/>
    <mergeCell ref="E75:F75"/>
    <mergeCell ref="J75:L75"/>
    <mergeCell ref="E76:F76"/>
    <mergeCell ref="J76:L76"/>
    <mergeCell ref="G75:I75"/>
    <mergeCell ref="G76:I76"/>
    <mergeCell ref="E73:F73"/>
    <mergeCell ref="J73:L73"/>
    <mergeCell ref="E74:F74"/>
    <mergeCell ref="E84:F84"/>
    <mergeCell ref="G84:I84"/>
    <mergeCell ref="J74:L74"/>
    <mergeCell ref="G73:I73"/>
    <mergeCell ref="G74:I74"/>
    <mergeCell ref="E71:F71"/>
    <mergeCell ref="J71:L71"/>
    <mergeCell ref="E72:F72"/>
    <mergeCell ref="J72:L72"/>
    <mergeCell ref="G71:I71"/>
    <mergeCell ref="G72:I72"/>
    <mergeCell ref="E69:F69"/>
    <mergeCell ref="J69:L69"/>
    <mergeCell ref="E70:F70"/>
    <mergeCell ref="J70:L70"/>
    <mergeCell ref="G69:I69"/>
    <mergeCell ref="G70:I70"/>
    <mergeCell ref="E67:F67"/>
    <mergeCell ref="J67:L67"/>
    <mergeCell ref="E68:F68"/>
    <mergeCell ref="J68:L68"/>
    <mergeCell ref="G67:I67"/>
    <mergeCell ref="G68:I68"/>
    <mergeCell ref="E65:F65"/>
    <mergeCell ref="J65:L65"/>
    <mergeCell ref="E66:F66"/>
    <mergeCell ref="J66:L66"/>
    <mergeCell ref="G65:I65"/>
    <mergeCell ref="G66:I66"/>
    <mergeCell ref="E63:F63"/>
    <mergeCell ref="J63:L63"/>
    <mergeCell ref="E64:F64"/>
    <mergeCell ref="J64:L64"/>
    <mergeCell ref="G63:I63"/>
    <mergeCell ref="G64:I64"/>
    <mergeCell ref="E61:F61"/>
    <mergeCell ref="J61:L61"/>
    <mergeCell ref="E62:F62"/>
    <mergeCell ref="J62:L62"/>
    <mergeCell ref="G61:I61"/>
    <mergeCell ref="G62:I62"/>
    <mergeCell ref="E59:F59"/>
    <mergeCell ref="J59:L59"/>
    <mergeCell ref="E60:F60"/>
    <mergeCell ref="J60:L60"/>
    <mergeCell ref="G59:I59"/>
    <mergeCell ref="G60:I60"/>
    <mergeCell ref="E58:F58"/>
    <mergeCell ref="J58:L58"/>
    <mergeCell ref="G57:I57"/>
    <mergeCell ref="G58:I58"/>
    <mergeCell ref="E55:F55"/>
    <mergeCell ref="J55:L55"/>
    <mergeCell ref="E56:F56"/>
    <mergeCell ref="J56:L56"/>
    <mergeCell ref="G55:I55"/>
    <mergeCell ref="G56:I56"/>
    <mergeCell ref="G53:I53"/>
    <mergeCell ref="G54:I54"/>
    <mergeCell ref="E51:F51"/>
    <mergeCell ref="J51:L51"/>
    <mergeCell ref="E52:F52"/>
    <mergeCell ref="J52:L52"/>
    <mergeCell ref="G52:I52"/>
    <mergeCell ref="E57:F57"/>
    <mergeCell ref="J57:L57"/>
    <mergeCell ref="L7:M7"/>
    <mergeCell ref="I7:J7"/>
    <mergeCell ref="L6:M6"/>
    <mergeCell ref="I6:J6"/>
    <mergeCell ref="E46:F46"/>
    <mergeCell ref="J46:L46"/>
    <mergeCell ref="G39:I39"/>
    <mergeCell ref="G40:I40"/>
    <mergeCell ref="G41:I41"/>
    <mergeCell ref="E44:F44"/>
    <mergeCell ref="J44:L44"/>
    <mergeCell ref="E45:F45"/>
    <mergeCell ref="J45:L45"/>
    <mergeCell ref="G44:I44"/>
    <mergeCell ref="G45:I45"/>
    <mergeCell ref="E42:F42"/>
    <mergeCell ref="J42:L42"/>
    <mergeCell ref="E43:F43"/>
    <mergeCell ref="J43:L43"/>
    <mergeCell ref="G42:I42"/>
    <mergeCell ref="A30:H30"/>
    <mergeCell ref="A28:H28"/>
    <mergeCell ref="A24:H24"/>
    <mergeCell ref="L20:M20"/>
    <mergeCell ref="E41:F41"/>
    <mergeCell ref="J41:L41"/>
    <mergeCell ref="G38:I38"/>
    <mergeCell ref="E39:F39"/>
    <mergeCell ref="J39:L39"/>
    <mergeCell ref="I24:J24"/>
    <mergeCell ref="L28:M28"/>
    <mergeCell ref="I28:J28"/>
    <mergeCell ref="L24:M24"/>
    <mergeCell ref="E48:F48"/>
    <mergeCell ref="E38:F38"/>
    <mergeCell ref="G37:I37"/>
    <mergeCell ref="A36:S36"/>
    <mergeCell ref="J38:L38"/>
    <mergeCell ref="J48:L48"/>
    <mergeCell ref="A12:M12"/>
    <mergeCell ref="E37:F37"/>
    <mergeCell ref="J37:L37"/>
    <mergeCell ref="A16:H16"/>
    <mergeCell ref="A14:H14"/>
    <mergeCell ref="A26:I26"/>
    <mergeCell ref="A25:I25"/>
    <mergeCell ref="A22:I22"/>
    <mergeCell ref="A21:I21"/>
    <mergeCell ref="L14:M14"/>
    <mergeCell ref="I14:J14"/>
    <mergeCell ref="L30:M30"/>
    <mergeCell ref="I30:J30"/>
    <mergeCell ref="A20:H20"/>
    <mergeCell ref="I20:J20"/>
    <mergeCell ref="G43:I43"/>
    <mergeCell ref="E40:F40"/>
    <mergeCell ref="J40:L40"/>
    <mergeCell ref="A18:H18"/>
    <mergeCell ref="A2:B2"/>
    <mergeCell ref="I10:J10"/>
    <mergeCell ref="H4:I4"/>
    <mergeCell ref="L10:M10"/>
    <mergeCell ref="F7:G7"/>
    <mergeCell ref="F6:G6"/>
    <mergeCell ref="I9:J9"/>
    <mergeCell ref="L9:M9"/>
    <mergeCell ref="A4:B4"/>
    <mergeCell ref="J4:K4"/>
    <mergeCell ref="A7:D7"/>
    <mergeCell ref="A6:D6"/>
    <mergeCell ref="L2:M2"/>
    <mergeCell ref="L3:M3"/>
    <mergeCell ref="C4:G4"/>
    <mergeCell ref="A3:B3"/>
    <mergeCell ref="L18:M18"/>
    <mergeCell ref="I18:J18"/>
    <mergeCell ref="I16:J16"/>
    <mergeCell ref="C3:K3"/>
    <mergeCell ref="C2:K2"/>
    <mergeCell ref="L13:M13"/>
    <mergeCell ref="I13:J13"/>
    <mergeCell ref="E80:F80"/>
    <mergeCell ref="G80:I80"/>
    <mergeCell ref="J80:L80"/>
    <mergeCell ref="A79:S79"/>
    <mergeCell ref="A35:S35"/>
    <mergeCell ref="A78:S78"/>
    <mergeCell ref="L34:M34"/>
    <mergeCell ref="I34:J34"/>
    <mergeCell ref="L32:M32"/>
    <mergeCell ref="I32:J32"/>
    <mergeCell ref="A34:H34"/>
    <mergeCell ref="A32:H32"/>
    <mergeCell ref="E47:F47"/>
    <mergeCell ref="J47:L47"/>
    <mergeCell ref="G46:I46"/>
    <mergeCell ref="G47:I47"/>
    <mergeCell ref="E49:F49"/>
    <mergeCell ref="J49:L49"/>
    <mergeCell ref="E50:F50"/>
    <mergeCell ref="J50:L50"/>
    <mergeCell ref="E53:F53"/>
    <mergeCell ref="J53:L53"/>
    <mergeCell ref="E54:F54"/>
    <mergeCell ref="J54:L54"/>
  </mergeCells>
  <conditionalFormatting sqref="E38:F77 E81:F81 E103:F120">
    <cfRule type="expression" dxfId="3" priority="54">
      <formula>AND($E38&gt;$W38,OR($S38=$AA$133,$S38=$AA$136,$S38=$AA$137,$S38=$AA$138))</formula>
    </cfRule>
  </conditionalFormatting>
  <conditionalFormatting sqref="E82:F90">
    <cfRule type="expression" dxfId="2" priority="70">
      <formula>AND($E82&gt;$V122,OR($S82=$AA$133,$S82=$AA$136,$S82=$AA$137,$S82=$AA$138))</formula>
    </cfRule>
  </conditionalFormatting>
  <conditionalFormatting sqref="E91:F102">
    <cfRule type="expression" dxfId="1" priority="69">
      <formula>AND($E91&gt;$W131,OR($S91=$AA$133,$S91=$AA$136,$S91=$AA$137,$S91=$AA$138))</formula>
    </cfRule>
  </conditionalFormatting>
  <dataValidations count="7">
    <dataValidation type="list" allowBlank="1" showInputMessage="1" showErrorMessage="1" sqref="F7:G7" xr:uid="{F76786CB-5BCE-4AF1-8CDD-F2D8A00BFC7A}">
      <formula1>$U$133:$U$137</formula1>
    </dataValidation>
    <dataValidation type="list" allowBlank="1" showInputMessage="1" showErrorMessage="1" sqref="N38:N77 N81:N120" xr:uid="{90C8537C-1C4A-4FB5-BCFA-8184681354D2}">
      <formula1>$X$133:$X$142</formula1>
    </dataValidation>
    <dataValidation type="list" allowBlank="1" showInputMessage="1" showErrorMessage="1" sqref="P81:P120 P38:P77" xr:uid="{5842086A-0C50-4C3B-8587-3EE5BB8C5F2B}">
      <formula1>$Z$133:$Z$137</formula1>
    </dataValidation>
    <dataValidation type="list" allowBlank="1" showInputMessage="1" showErrorMessage="1" sqref="S81:S120 S38:S77" xr:uid="{BD7DDCC9-03C8-4616-A912-B3ED75DC5C50}">
      <formula1>$AA$133:$AA$138</formula1>
    </dataValidation>
    <dataValidation type="list" allowBlank="1" showInputMessage="1" showErrorMessage="1" sqref="I7:J7 M81:M120 L7:M7 M38:M77 R81:R120 R38:R77" xr:uid="{4A4B0D45-1240-418A-A362-44B85A5429FE}">
      <formula1>$V$133:$V$134</formula1>
    </dataValidation>
    <dataValidation type="list" allowBlank="1" showInputMessage="1" showErrorMessage="1" sqref="O81:O120 O38:O77" xr:uid="{F01F8CAE-4012-4190-B6E2-AB84801C608B}">
      <formula1>$U$123:$AB$123</formula1>
    </dataValidation>
    <dataValidation type="list" allowBlank="1" showInputMessage="1" showErrorMessage="1" sqref="Q38:Q77 Q81:Q120" xr:uid="{EAA6AC92-EC17-4223-B493-1459B4C4D96C}">
      <formula1>$Y$133:$Y$137</formula1>
    </dataValidation>
  </dataValidations>
  <pageMargins left="0.5" right="0.5" top="0.5" bottom="0.5" header="0.25" footer="0.25"/>
  <pageSetup paperSize="5" scale="65" orientation="landscape" r:id="rId1"/>
  <headerFooter>
    <oddFooter>&amp;C&amp;14Page &amp;P of &amp;N</oddFooter>
  </headerFooter>
  <rowBreaks count="1" manualBreakCount="1">
    <brk id="77" max="16"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4D2437D-B007-4734-BC78-50E130339FA3}">
          <x14:formula1>
            <xm:f>'Project Summary'!$M$148:$M$150</xm:f>
          </x14:formula1>
          <xm:sqref>U36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BD712-AA42-45E2-B203-9513ED177A02}">
  <dimension ref="A1:AK133"/>
  <sheetViews>
    <sheetView zoomScale="85" zoomScaleNormal="85" zoomScaleSheetLayoutView="85" workbookViewId="0">
      <selection activeCell="F7" sqref="F7:G7"/>
    </sheetView>
  </sheetViews>
  <sheetFormatPr defaultRowHeight="15" x14ac:dyDescent="0.25"/>
  <cols>
    <col min="1" max="1" width="3.140625" bestFit="1" customWidth="1"/>
    <col min="2" max="2" width="10.7109375" customWidth="1"/>
    <col min="4" max="4" width="9.5703125" bestFit="1" customWidth="1"/>
    <col min="5" max="5" width="2.7109375" customWidth="1"/>
    <col min="6" max="7" width="10.7109375" customWidth="1"/>
    <col min="8" max="8" width="2.7109375" customWidth="1"/>
    <col min="9" max="10" width="9.7109375" customWidth="1"/>
    <col min="11" max="11" width="2.7109375" customWidth="1"/>
    <col min="12" max="13" width="9.7109375" customWidth="1"/>
    <col min="14" max="14" width="12.7109375" customWidth="1"/>
    <col min="15" max="15" width="42.7109375" customWidth="1"/>
    <col min="16" max="16" width="12.7109375" customWidth="1"/>
    <col min="17" max="17" width="18.28515625" customWidth="1"/>
    <col min="18" max="18" width="16.7109375" customWidth="1"/>
    <col min="19" max="19" width="11.7109375" customWidth="1"/>
    <col min="20" max="20" width="49.42578125" customWidth="1"/>
    <col min="21" max="29" width="12.85546875" customWidth="1"/>
  </cols>
  <sheetData>
    <row r="1" spans="1:13" ht="18.75" x14ac:dyDescent="0.3">
      <c r="A1" s="1140" t="s">
        <v>947</v>
      </c>
      <c r="B1" s="1140"/>
      <c r="C1" s="1140"/>
      <c r="D1" s="1140"/>
      <c r="E1" s="1140"/>
      <c r="F1" s="1140"/>
      <c r="G1" s="1140"/>
      <c r="H1" s="1140"/>
      <c r="I1" s="1140"/>
      <c r="J1" s="1140"/>
      <c r="K1" s="1140"/>
      <c r="L1" s="1140"/>
      <c r="M1" s="1140"/>
    </row>
    <row r="2" spans="1:13" x14ac:dyDescent="0.25">
      <c r="A2" s="789" t="s">
        <v>13</v>
      </c>
      <c r="B2" s="790"/>
      <c r="C2" s="1137" t="str">
        <f>IF('Project Summary'!$C$8="","",'Project Summary'!$C$8)</f>
        <v/>
      </c>
      <c r="D2" s="1137"/>
      <c r="E2" s="1137"/>
      <c r="F2" s="1137"/>
      <c r="G2" s="1137"/>
      <c r="H2" s="1137"/>
      <c r="I2" s="1137"/>
      <c r="J2" s="1137"/>
      <c r="K2" s="1138"/>
      <c r="L2" s="1101" t="s">
        <v>11</v>
      </c>
      <c r="M2" s="1101"/>
    </row>
    <row r="3" spans="1:13" x14ac:dyDescent="0.25">
      <c r="A3" s="789" t="s">
        <v>790</v>
      </c>
      <c r="B3" s="790"/>
      <c r="C3" s="1137" t="str">
        <f>IF('Project Summary'!$C$11="","",'Project Summary'!$C$11)</f>
        <v/>
      </c>
      <c r="D3" s="1137"/>
      <c r="E3" s="1137"/>
      <c r="F3" s="1137"/>
      <c r="G3" s="1137"/>
      <c r="H3" s="1137"/>
      <c r="I3" s="1137"/>
      <c r="J3" s="1137"/>
      <c r="K3" s="1138"/>
      <c r="L3" s="1139" t="str">
        <f>IF('Project Summary'!$C$5&lt;1,"",'Project Summary'!$C$5)</f>
        <v/>
      </c>
      <c r="M3" s="1139"/>
    </row>
    <row r="4" spans="1:13" x14ac:dyDescent="0.25">
      <c r="A4" s="1173" t="s">
        <v>483</v>
      </c>
      <c r="B4" s="1174"/>
      <c r="C4" s="1176" t="str">
        <f>IF('Project Summary'!$C$12="","",'Project Summary'!$C$12)</f>
        <v/>
      </c>
      <c r="D4" s="1176"/>
      <c r="E4" s="1176"/>
      <c r="F4" s="1176"/>
      <c r="G4" s="1177"/>
      <c r="H4" s="789" t="s">
        <v>484</v>
      </c>
      <c r="I4" s="790"/>
      <c r="J4" s="974" t="str">
        <f>'Project Summary'!$I$12</f>
        <v>ND</v>
      </c>
      <c r="K4" s="975"/>
      <c r="L4" s="253" t="s">
        <v>482</v>
      </c>
      <c r="M4" s="488" t="str">
        <f>IF('Project Summary'!$K$12="","",'Project Summary'!$K$12)</f>
        <v/>
      </c>
    </row>
    <row r="6" spans="1:13" x14ac:dyDescent="0.25">
      <c r="A6" s="1171" t="s">
        <v>25</v>
      </c>
      <c r="B6" s="1175"/>
      <c r="C6" s="1175"/>
      <c r="D6" s="1172"/>
      <c r="F6" s="1171" t="s">
        <v>897</v>
      </c>
      <c r="G6" s="1172"/>
      <c r="I6" s="1171" t="s">
        <v>937</v>
      </c>
      <c r="J6" s="1172"/>
      <c r="L6" s="1171" t="s">
        <v>938</v>
      </c>
      <c r="M6" s="1172"/>
    </row>
    <row r="7" spans="1:13" x14ac:dyDescent="0.25">
      <c r="A7" s="1167" t="str">
        <f>IF(OR('Project Summary'!$C$66="No",'Project Summary'!$C$66="",'Project Summary'!$C$67=""),"",'Project Summary'!$C$67)</f>
        <v/>
      </c>
      <c r="B7" s="893"/>
      <c r="C7" s="893"/>
      <c r="D7" s="1168"/>
      <c r="F7" s="1169"/>
      <c r="G7" s="1170"/>
      <c r="I7" s="1169"/>
      <c r="J7" s="1170"/>
      <c r="L7" s="1169"/>
      <c r="M7" s="1170"/>
    </row>
    <row r="8" spans="1:13" ht="5.0999999999999996" customHeight="1" x14ac:dyDescent="0.25"/>
    <row r="9" spans="1:13" x14ac:dyDescent="0.25">
      <c r="I9" s="1171" t="s">
        <v>492</v>
      </c>
      <c r="J9" s="1172"/>
      <c r="K9" s="490"/>
      <c r="L9" s="1171" t="s">
        <v>950</v>
      </c>
      <c r="M9" s="1172"/>
    </row>
    <row r="10" spans="1:13" x14ac:dyDescent="0.25">
      <c r="I10" s="1167" t="str">
        <f>IF(OR('Project Summary'!$C$66="No",'Project Summary'!$C$66=""),"",'Project Summary'!$J$81)</f>
        <v/>
      </c>
      <c r="J10" s="1168"/>
      <c r="K10" s="491"/>
      <c r="L10" s="1167" t="str">
        <f>IF(OR('Project Summary'!$C$66="No",'Project Summary'!$C$66=""),"",'Project Summary'!$D$77)</f>
        <v/>
      </c>
      <c r="M10" s="1168"/>
    </row>
    <row r="11" spans="1:13" ht="5.0999999999999996" customHeight="1" x14ac:dyDescent="0.25">
      <c r="C11" s="319"/>
      <c r="D11" s="319"/>
      <c r="F11" s="319"/>
      <c r="G11" s="319"/>
    </row>
    <row r="12" spans="1:13" ht="18.75" x14ac:dyDescent="0.3">
      <c r="A12" s="805" t="s">
        <v>901</v>
      </c>
      <c r="B12" s="805"/>
      <c r="C12" s="805"/>
      <c r="D12" s="805"/>
      <c r="E12" s="805"/>
      <c r="F12" s="805"/>
      <c r="G12" s="805"/>
      <c r="H12" s="805"/>
      <c r="I12" s="805"/>
      <c r="J12" s="805"/>
      <c r="K12" s="805"/>
      <c r="L12" s="805"/>
      <c r="M12" s="805"/>
    </row>
    <row r="13" spans="1:13" x14ac:dyDescent="0.25">
      <c r="I13" s="648" t="s">
        <v>895</v>
      </c>
      <c r="J13" s="648"/>
      <c r="L13" s="648" t="s">
        <v>951</v>
      </c>
      <c r="M13" s="648"/>
    </row>
    <row r="14" spans="1:13" x14ac:dyDescent="0.25">
      <c r="A14" s="1162" t="s">
        <v>885</v>
      </c>
      <c r="B14" s="1163"/>
      <c r="C14" s="1163"/>
      <c r="D14" s="1163"/>
      <c r="E14" s="1163"/>
      <c r="F14" s="1163"/>
      <c r="G14" s="1163"/>
      <c r="H14" s="1163"/>
      <c r="I14" s="1160"/>
      <c r="J14" s="1161"/>
      <c r="L14" s="1160"/>
      <c r="M14" s="1161"/>
    </row>
    <row r="15" spans="1:13" ht="5.0999999999999996" customHeight="1" x14ac:dyDescent="0.25"/>
    <row r="16" spans="1:13" x14ac:dyDescent="0.25">
      <c r="A16" s="1162" t="s">
        <v>886</v>
      </c>
      <c r="B16" s="1163"/>
      <c r="C16" s="1163"/>
      <c r="D16" s="1163"/>
      <c r="E16" s="1163"/>
      <c r="F16" s="1163"/>
      <c r="G16" s="1163"/>
      <c r="H16" s="1163"/>
      <c r="I16" s="1160"/>
      <c r="J16" s="1161"/>
      <c r="L16" s="237"/>
      <c r="M16" s="237"/>
    </row>
    <row r="17" spans="1:37" ht="5.0999999999999996" customHeight="1" x14ac:dyDescent="0.25"/>
    <row r="18" spans="1:37" x14ac:dyDescent="0.25">
      <c r="A18" s="1185" t="s">
        <v>891</v>
      </c>
      <c r="B18" s="1186"/>
      <c r="C18" s="1186"/>
      <c r="D18" s="1186"/>
      <c r="E18" s="1186"/>
      <c r="F18" s="1186"/>
      <c r="G18" s="1186"/>
      <c r="H18" s="1187"/>
      <c r="I18" s="1160"/>
      <c r="J18" s="1161"/>
      <c r="L18" s="1160"/>
      <c r="M18" s="1161"/>
    </row>
    <row r="19" spans="1:37" x14ac:dyDescent="0.25">
      <c r="A19" s="1178" t="s">
        <v>888</v>
      </c>
      <c r="B19" s="1179"/>
      <c r="C19" s="1179"/>
      <c r="D19" s="1179"/>
      <c r="E19" s="1179"/>
      <c r="F19" s="1179"/>
      <c r="G19" s="1179"/>
      <c r="H19" s="1179"/>
      <c r="I19" s="1180"/>
      <c r="J19" s="494"/>
      <c r="L19" s="492"/>
      <c r="M19" s="494"/>
    </row>
    <row r="20" spans="1:37" ht="5.0999999999999996" customHeight="1" x14ac:dyDescent="0.25"/>
    <row r="21" spans="1:37" x14ac:dyDescent="0.25">
      <c r="A21" s="1185" t="s">
        <v>949</v>
      </c>
      <c r="B21" s="1186"/>
      <c r="C21" s="1186"/>
      <c r="D21" s="1186"/>
      <c r="E21" s="1186"/>
      <c r="F21" s="1186"/>
      <c r="G21" s="1186"/>
      <c r="H21" s="1187"/>
      <c r="I21" s="1160"/>
      <c r="J21" s="1161"/>
      <c r="L21" s="1160"/>
      <c r="M21" s="1161"/>
    </row>
    <row r="22" spans="1:37" x14ac:dyDescent="0.25">
      <c r="A22" s="1178" t="s">
        <v>888</v>
      </c>
      <c r="B22" s="1179"/>
      <c r="C22" s="1179"/>
      <c r="D22" s="1179"/>
      <c r="E22" s="1179"/>
      <c r="F22" s="1179"/>
      <c r="G22" s="1179"/>
      <c r="H22" s="1179"/>
      <c r="I22" s="1193"/>
      <c r="J22" s="494"/>
      <c r="L22" s="492"/>
      <c r="M22" s="494"/>
    </row>
    <row r="23" spans="1:37" x14ac:dyDescent="0.25">
      <c r="A23" s="646"/>
      <c r="B23" s="646"/>
      <c r="C23" s="646"/>
      <c r="D23" s="646"/>
      <c r="E23" s="646"/>
      <c r="F23" s="646"/>
      <c r="G23" s="646"/>
      <c r="H23" s="646"/>
      <c r="I23" s="646"/>
      <c r="J23" s="646"/>
      <c r="K23" s="646"/>
      <c r="L23" s="646"/>
      <c r="M23" s="646"/>
      <c r="N23" s="646"/>
      <c r="O23" s="646"/>
      <c r="P23" s="646"/>
      <c r="Q23" s="646"/>
      <c r="R23" s="646"/>
      <c r="S23" s="646"/>
      <c r="T23" s="646"/>
    </row>
    <row r="24" spans="1:37" ht="18.75" customHeight="1" x14ac:dyDescent="0.3">
      <c r="A24" s="805" t="s">
        <v>948</v>
      </c>
      <c r="B24" s="805"/>
      <c r="C24" s="805"/>
      <c r="D24" s="805"/>
      <c r="E24" s="805"/>
      <c r="F24" s="805"/>
      <c r="G24" s="805"/>
      <c r="H24" s="805"/>
      <c r="I24" s="805"/>
      <c r="J24" s="805"/>
      <c r="K24" s="805"/>
      <c r="L24" s="805"/>
      <c r="M24" s="805"/>
      <c r="N24" s="805"/>
      <c r="O24" s="805"/>
      <c r="P24" s="805"/>
      <c r="Q24" s="805"/>
      <c r="R24" s="805"/>
      <c r="S24" s="805"/>
      <c r="T24" s="805"/>
      <c r="V24" s="634" t="s">
        <v>1121</v>
      </c>
    </row>
    <row r="25" spans="1:37" ht="30" customHeight="1" x14ac:dyDescent="0.25">
      <c r="A25" s="495"/>
      <c r="B25" s="507" t="s">
        <v>38</v>
      </c>
      <c r="C25" s="507" t="s">
        <v>371</v>
      </c>
      <c r="D25" s="507" t="s">
        <v>40</v>
      </c>
      <c r="E25" s="1156" t="s">
        <v>961</v>
      </c>
      <c r="F25" s="1156"/>
      <c r="G25" s="1156" t="s">
        <v>945</v>
      </c>
      <c r="H25" s="1156"/>
      <c r="I25" s="1157" t="s">
        <v>946</v>
      </c>
      <c r="J25" s="1159"/>
      <c r="K25" s="1158" t="s">
        <v>903</v>
      </c>
      <c r="L25" s="1158"/>
      <c r="M25" s="1159"/>
      <c r="N25" s="507" t="s">
        <v>904</v>
      </c>
      <c r="O25" s="507" t="s">
        <v>905</v>
      </c>
      <c r="P25" s="507" t="s">
        <v>916</v>
      </c>
      <c r="Q25" s="507" t="s">
        <v>918</v>
      </c>
      <c r="R25" s="507" t="s">
        <v>1040</v>
      </c>
      <c r="S25" s="507" t="s">
        <v>1041</v>
      </c>
      <c r="T25" s="507" t="s">
        <v>932</v>
      </c>
      <c r="V25" s="531" t="s">
        <v>933</v>
      </c>
      <c r="W25" s="531" t="s">
        <v>953</v>
      </c>
      <c r="X25" s="531" t="s">
        <v>954</v>
      </c>
      <c r="Y25" s="531" t="s">
        <v>955</v>
      </c>
      <c r="Z25" s="531" t="s">
        <v>691</v>
      </c>
      <c r="AK25" s="147"/>
    </row>
    <row r="26" spans="1:37" ht="15" customHeight="1" x14ac:dyDescent="0.25">
      <c r="A26" s="147">
        <v>1</v>
      </c>
      <c r="B26" s="29"/>
      <c r="C26" s="29"/>
      <c r="D26" s="194" t="str" cm="1">
        <f t="array" ref="D26">IFERROR(IF(IFERROR(_xlfn.IFNA(LOOKUP(2,1/('Project SqFt'!$A$18:$A$87=B26)/('Project SqFt'!$B$18:$B$87=C26),'Project SqFt'!$D$18:$D$87),LOOKUP(2,1/('Project SqFt'!$H$18:$H$87=B26)/('Project SqFt'!$I$18:$I$87=C26),'Project SqFt'!$L$18:$L$87)),LOOKUP(2,1/('Project SqFt'!$P$18:$P$87=B26)/('Project SqFt'!$Q$18:$Q$87=C26),'Project SqFt'!$T$18:$T$87))="","",IFERROR(_xlfn.IFNA(LOOKUP(2,1/('Project SqFt'!$A$18:$A$87=B26)/('Project SqFt'!$B$18:$B$87=C26),'Project SqFt'!$D$18:$D$87),LOOKUP(2,1/('Project SqFt'!$H$18:$H$87=B26)/('Project SqFt'!$I$18:$I$87=C26),'Project SqFt'!$L$18:$L$87)),LOOKUP(2,1/('Project SqFt'!$P$18:$P$87=B26)/('Project SqFt'!$Q$18:$Q$87=C26),'Project SqFt'!$T$18:$T$87))),"")</f>
        <v/>
      </c>
      <c r="E26" s="758"/>
      <c r="F26" s="1191"/>
      <c r="G26" s="753"/>
      <c r="H26" s="753"/>
      <c r="I26" s="860"/>
      <c r="J26" s="861"/>
      <c r="K26" s="886" t="str">
        <f t="shared" ref="K26:K65" si="0">IF($I26="","",IF($I26&lt;=$V26,$X$123,IF(AND($I26&gt;$V26,$I26&lt;=$W26),$X$124,IF(AND($I26&gt;$W26,$I26&lt;=$X26),$X$125,IF(AND($I26&gt;$X26,$I26&lt;=$Y26),$X$126,"Does Not Qualify")))))</f>
        <v/>
      </c>
      <c r="L26" s="886"/>
      <c r="M26" s="725"/>
      <c r="N26" s="29"/>
      <c r="O26" s="489"/>
      <c r="P26" s="29"/>
      <c r="Q26" s="29"/>
      <c r="R26" s="29"/>
      <c r="S26" s="29"/>
      <c r="T26" s="489"/>
      <c r="U26" s="147"/>
      <c r="V26" s="147" t="str">
        <f t="shared" ref="V26:V65" si="1">_xlfn.IFNA(HLOOKUP($P26,$W$111:$AD$115,2,FALSE),"")</f>
        <v/>
      </c>
      <c r="W26" s="147" t="str">
        <f t="shared" ref="W26:W65" si="2">_xlfn.IFNA(HLOOKUP($P26,$W$111:$AD$115,3,FALSE),"")</f>
        <v/>
      </c>
      <c r="X26" s="147" t="str">
        <f t="shared" ref="X26:X65" si="3">_xlfn.IFNA(HLOOKUP($P26,$W$111:$AD$115,4,FALSE),"")</f>
        <v/>
      </c>
      <c r="Y26" s="147" t="str">
        <f t="shared" ref="Y26:Y65" si="4">_xlfn.IFNA(HLOOKUP($P26,$W$111:$AD$115,5,FALSE),"")</f>
        <v/>
      </c>
      <c r="Z26" s="147" t="str">
        <f t="shared" ref="Z26:Z65" si="5">_xlfn.IFNA(HLOOKUP($D26,$W$117:$AA$119,(IF($E26=$V$118,2,3)),FALSE),"")</f>
        <v/>
      </c>
      <c r="AK26" s="319"/>
    </row>
    <row r="27" spans="1:37" ht="15" customHeight="1" x14ac:dyDescent="0.25">
      <c r="A27" s="147">
        <v>2</v>
      </c>
      <c r="B27" s="29"/>
      <c r="C27" s="29"/>
      <c r="D27" s="194" t="str" cm="1">
        <f t="array" ref="D27">IFERROR(IF(IFERROR(_xlfn.IFNA(LOOKUP(2,1/('Project SqFt'!$A$18:$A$87=B27)/('Project SqFt'!$B$18:$B$87=C27),'Project SqFt'!$D$18:$D$87),LOOKUP(2,1/('Project SqFt'!$H$18:$H$87=B27)/('Project SqFt'!$I$18:$I$87=C27),'Project SqFt'!$L$18:$L$87)),LOOKUP(2,1/('Project SqFt'!$P$18:$P$87=B27)/('Project SqFt'!$Q$18:$Q$87=C27),'Project SqFt'!$T$18:$T$87))="","",IFERROR(_xlfn.IFNA(LOOKUP(2,1/('Project SqFt'!$A$18:$A$87=B27)/('Project SqFt'!$B$18:$B$87=C27),'Project SqFt'!$D$18:$D$87),LOOKUP(2,1/('Project SqFt'!$H$18:$H$87=B27)/('Project SqFt'!$I$18:$I$87=C27),'Project SqFt'!$L$18:$L$87)),LOOKUP(2,1/('Project SqFt'!$P$18:$P$87=B27)/('Project SqFt'!$Q$18:$Q$87=C27),'Project SqFt'!$T$18:$T$87))),"")</f>
        <v/>
      </c>
      <c r="E27" s="758"/>
      <c r="F27" s="1191"/>
      <c r="G27" s="753"/>
      <c r="H27" s="753"/>
      <c r="I27" s="860"/>
      <c r="J27" s="861"/>
      <c r="K27" s="886" t="str">
        <f t="shared" si="0"/>
        <v/>
      </c>
      <c r="L27" s="886"/>
      <c r="M27" s="725"/>
      <c r="N27" s="29"/>
      <c r="O27" s="489"/>
      <c r="P27" s="29"/>
      <c r="Q27" s="29"/>
      <c r="R27" s="29"/>
      <c r="S27" s="29"/>
      <c r="T27" s="489"/>
      <c r="U27" s="147"/>
      <c r="V27" s="147" t="str">
        <f t="shared" si="1"/>
        <v/>
      </c>
      <c r="W27" s="147" t="str">
        <f t="shared" si="2"/>
        <v/>
      </c>
      <c r="X27" s="147" t="str">
        <f t="shared" si="3"/>
        <v/>
      </c>
      <c r="Y27" s="147" t="str">
        <f t="shared" si="4"/>
        <v/>
      </c>
      <c r="Z27" s="147" t="str">
        <f t="shared" si="5"/>
        <v/>
      </c>
    </row>
    <row r="28" spans="1:37" ht="15" customHeight="1" x14ac:dyDescent="0.25">
      <c r="A28" s="147">
        <v>3</v>
      </c>
      <c r="B28" s="29"/>
      <c r="C28" s="29"/>
      <c r="D28" s="194" t="str" cm="1">
        <f t="array" ref="D28">IFERROR(IF(IFERROR(_xlfn.IFNA(LOOKUP(2,1/('Project SqFt'!$A$18:$A$87=B28)/('Project SqFt'!$B$18:$B$87=C28),'Project SqFt'!$D$18:$D$87),LOOKUP(2,1/('Project SqFt'!$H$18:$H$87=B28)/('Project SqFt'!$I$18:$I$87=C28),'Project SqFt'!$L$18:$L$87)),LOOKUP(2,1/('Project SqFt'!$P$18:$P$87=B28)/('Project SqFt'!$Q$18:$Q$87=C28),'Project SqFt'!$T$18:$T$87))="","",IFERROR(_xlfn.IFNA(LOOKUP(2,1/('Project SqFt'!$A$18:$A$87=B28)/('Project SqFt'!$B$18:$B$87=C28),'Project SqFt'!$D$18:$D$87),LOOKUP(2,1/('Project SqFt'!$H$18:$H$87=B28)/('Project SqFt'!$I$18:$I$87=C28),'Project SqFt'!$L$18:$L$87)),LOOKUP(2,1/('Project SqFt'!$P$18:$P$87=B28)/('Project SqFt'!$Q$18:$Q$87=C28),'Project SqFt'!$T$18:$T$87))),"")</f>
        <v/>
      </c>
      <c r="E28" s="758"/>
      <c r="F28" s="1191"/>
      <c r="G28" s="753"/>
      <c r="H28" s="753"/>
      <c r="I28" s="860"/>
      <c r="J28" s="861"/>
      <c r="K28" s="886" t="str">
        <f t="shared" si="0"/>
        <v/>
      </c>
      <c r="L28" s="886"/>
      <c r="M28" s="725"/>
      <c r="N28" s="29"/>
      <c r="O28" s="489"/>
      <c r="P28" s="29"/>
      <c r="Q28" s="29"/>
      <c r="R28" s="29"/>
      <c r="S28" s="29"/>
      <c r="T28" s="489"/>
      <c r="U28" s="147"/>
      <c r="V28" s="147" t="str">
        <f t="shared" si="1"/>
        <v/>
      </c>
      <c r="W28" s="147" t="str">
        <f t="shared" si="2"/>
        <v/>
      </c>
      <c r="X28" s="147" t="str">
        <f t="shared" si="3"/>
        <v/>
      </c>
      <c r="Y28" s="147" t="str">
        <f t="shared" si="4"/>
        <v/>
      </c>
      <c r="Z28" s="147" t="str">
        <f t="shared" si="5"/>
        <v/>
      </c>
      <c r="AH28" s="147"/>
    </row>
    <row r="29" spans="1:37" ht="15" customHeight="1" x14ac:dyDescent="0.25">
      <c r="A29" s="147">
        <v>4</v>
      </c>
      <c r="B29" s="29"/>
      <c r="C29" s="29"/>
      <c r="D29" s="194" t="str" cm="1">
        <f t="array" ref="D29">IFERROR(IF(IFERROR(_xlfn.IFNA(LOOKUP(2,1/('Project SqFt'!$A$18:$A$87=B29)/('Project SqFt'!$B$18:$B$87=C29),'Project SqFt'!$D$18:$D$87),LOOKUP(2,1/('Project SqFt'!$H$18:$H$87=B29)/('Project SqFt'!$I$18:$I$87=C29),'Project SqFt'!$L$18:$L$87)),LOOKUP(2,1/('Project SqFt'!$P$18:$P$87=B29)/('Project SqFt'!$Q$18:$Q$87=C29),'Project SqFt'!$T$18:$T$87))="","",IFERROR(_xlfn.IFNA(LOOKUP(2,1/('Project SqFt'!$A$18:$A$87=B29)/('Project SqFt'!$B$18:$B$87=C29),'Project SqFt'!$D$18:$D$87),LOOKUP(2,1/('Project SqFt'!$H$18:$H$87=B29)/('Project SqFt'!$I$18:$I$87=C29),'Project SqFt'!$L$18:$L$87)),LOOKUP(2,1/('Project SqFt'!$P$18:$P$87=B29)/('Project SqFt'!$Q$18:$Q$87=C29),'Project SqFt'!$T$18:$T$87))),"")</f>
        <v/>
      </c>
      <c r="E29" s="758"/>
      <c r="F29" s="1191"/>
      <c r="G29" s="753"/>
      <c r="H29" s="753"/>
      <c r="I29" s="860"/>
      <c r="J29" s="861"/>
      <c r="K29" s="886" t="str">
        <f t="shared" si="0"/>
        <v/>
      </c>
      <c r="L29" s="886"/>
      <c r="M29" s="725"/>
      <c r="N29" s="29"/>
      <c r="O29" s="489"/>
      <c r="P29" s="29"/>
      <c r="Q29" s="29"/>
      <c r="R29" s="29"/>
      <c r="S29" s="29"/>
      <c r="T29" s="489"/>
      <c r="U29" s="147"/>
      <c r="V29" s="147" t="str">
        <f t="shared" si="1"/>
        <v/>
      </c>
      <c r="W29" s="147" t="str">
        <f t="shared" si="2"/>
        <v/>
      </c>
      <c r="X29" s="147" t="str">
        <f t="shared" si="3"/>
        <v/>
      </c>
      <c r="Y29" s="147" t="str">
        <f t="shared" si="4"/>
        <v/>
      </c>
      <c r="Z29" s="147" t="str">
        <f t="shared" si="5"/>
        <v/>
      </c>
      <c r="AH29" s="319"/>
    </row>
    <row r="30" spans="1:37" ht="15" customHeight="1" x14ac:dyDescent="0.25">
      <c r="A30" s="147">
        <v>5</v>
      </c>
      <c r="B30" s="29"/>
      <c r="C30" s="29"/>
      <c r="D30" s="194" t="str" cm="1">
        <f t="array" ref="D30">IFERROR(IF(IFERROR(_xlfn.IFNA(LOOKUP(2,1/('Project SqFt'!$A$18:$A$87=B30)/('Project SqFt'!$B$18:$B$87=C30),'Project SqFt'!$D$18:$D$87),LOOKUP(2,1/('Project SqFt'!$H$18:$H$87=B30)/('Project SqFt'!$I$18:$I$87=C30),'Project SqFt'!$L$18:$L$87)),LOOKUP(2,1/('Project SqFt'!$P$18:$P$87=B30)/('Project SqFt'!$Q$18:$Q$87=C30),'Project SqFt'!$T$18:$T$87))="","",IFERROR(_xlfn.IFNA(LOOKUP(2,1/('Project SqFt'!$A$18:$A$87=B30)/('Project SqFt'!$B$18:$B$87=C30),'Project SqFt'!$D$18:$D$87),LOOKUP(2,1/('Project SqFt'!$H$18:$H$87=B30)/('Project SqFt'!$I$18:$I$87=C30),'Project SqFt'!$L$18:$L$87)),LOOKUP(2,1/('Project SqFt'!$P$18:$P$87=B30)/('Project SqFt'!$Q$18:$Q$87=C30),'Project SqFt'!$T$18:$T$87))),"")</f>
        <v/>
      </c>
      <c r="E30" s="758"/>
      <c r="F30" s="1191"/>
      <c r="G30" s="753"/>
      <c r="H30" s="753"/>
      <c r="I30" s="860"/>
      <c r="J30" s="861"/>
      <c r="K30" s="886" t="str">
        <f t="shared" si="0"/>
        <v/>
      </c>
      <c r="L30" s="886"/>
      <c r="M30" s="725"/>
      <c r="N30" s="29"/>
      <c r="O30" s="489"/>
      <c r="P30" s="29"/>
      <c r="Q30" s="29"/>
      <c r="R30" s="29"/>
      <c r="S30" s="29"/>
      <c r="T30" s="489"/>
      <c r="U30" s="147"/>
      <c r="V30" s="147" t="str">
        <f t="shared" si="1"/>
        <v/>
      </c>
      <c r="W30" s="147" t="str">
        <f t="shared" si="2"/>
        <v/>
      </c>
      <c r="X30" s="147" t="str">
        <f t="shared" si="3"/>
        <v/>
      </c>
      <c r="Y30" s="147" t="str">
        <f t="shared" si="4"/>
        <v/>
      </c>
      <c r="Z30" s="147" t="str">
        <f t="shared" si="5"/>
        <v/>
      </c>
    </row>
    <row r="31" spans="1:37" ht="15" customHeight="1" x14ac:dyDescent="0.25">
      <c r="A31" s="147">
        <v>6</v>
      </c>
      <c r="B31" s="29"/>
      <c r="C31" s="29"/>
      <c r="D31" s="194" t="str" cm="1">
        <f t="array" ref="D31">IFERROR(IF(IFERROR(_xlfn.IFNA(LOOKUP(2,1/('Project SqFt'!$A$18:$A$87=B31)/('Project SqFt'!$B$18:$B$87=C31),'Project SqFt'!$D$18:$D$87),LOOKUP(2,1/('Project SqFt'!$H$18:$H$87=B31)/('Project SqFt'!$I$18:$I$87=C31),'Project SqFt'!$L$18:$L$87)),LOOKUP(2,1/('Project SqFt'!$P$18:$P$87=B31)/('Project SqFt'!$Q$18:$Q$87=C31),'Project SqFt'!$T$18:$T$87))="","",IFERROR(_xlfn.IFNA(LOOKUP(2,1/('Project SqFt'!$A$18:$A$87=B31)/('Project SqFt'!$B$18:$B$87=C31),'Project SqFt'!$D$18:$D$87),LOOKUP(2,1/('Project SqFt'!$H$18:$H$87=B31)/('Project SqFt'!$I$18:$I$87=C31),'Project SqFt'!$L$18:$L$87)),LOOKUP(2,1/('Project SqFt'!$P$18:$P$87=B31)/('Project SqFt'!$Q$18:$Q$87=C31),'Project SqFt'!$T$18:$T$87))),"")</f>
        <v/>
      </c>
      <c r="E31" s="758"/>
      <c r="F31" s="1191"/>
      <c r="G31" s="753"/>
      <c r="H31" s="753"/>
      <c r="I31" s="860"/>
      <c r="J31" s="861"/>
      <c r="K31" s="886" t="str">
        <f t="shared" si="0"/>
        <v/>
      </c>
      <c r="L31" s="886"/>
      <c r="M31" s="725"/>
      <c r="N31" s="29"/>
      <c r="O31" s="489"/>
      <c r="P31" s="29"/>
      <c r="Q31" s="29"/>
      <c r="R31" s="29"/>
      <c r="S31" s="29"/>
      <c r="T31" s="489"/>
      <c r="U31" s="147"/>
      <c r="V31" s="147" t="str">
        <f t="shared" si="1"/>
        <v/>
      </c>
      <c r="W31" s="147" t="str">
        <f t="shared" si="2"/>
        <v/>
      </c>
      <c r="X31" s="147" t="str">
        <f t="shared" si="3"/>
        <v/>
      </c>
      <c r="Y31" s="147" t="str">
        <f t="shared" si="4"/>
        <v/>
      </c>
      <c r="Z31" s="147" t="str">
        <f t="shared" si="5"/>
        <v/>
      </c>
    </row>
    <row r="32" spans="1:37" s="495" customFormat="1" ht="15" customHeight="1" x14ac:dyDescent="0.25">
      <c r="A32" s="147">
        <v>7</v>
      </c>
      <c r="B32" s="29"/>
      <c r="C32" s="29"/>
      <c r="D32" s="194" t="str" cm="1">
        <f t="array" ref="D32">IFERROR(IF(IFERROR(_xlfn.IFNA(LOOKUP(2,1/('Project SqFt'!$A$18:$A$87=B32)/('Project SqFt'!$B$18:$B$87=C32),'Project SqFt'!$D$18:$D$87),LOOKUP(2,1/('Project SqFt'!$H$18:$H$87=B32)/('Project SqFt'!$I$18:$I$87=C32),'Project SqFt'!$L$18:$L$87)),LOOKUP(2,1/('Project SqFt'!$P$18:$P$87=B32)/('Project SqFt'!$Q$18:$Q$87=C32),'Project SqFt'!$T$18:$T$87))="","",IFERROR(_xlfn.IFNA(LOOKUP(2,1/('Project SqFt'!$A$18:$A$87=B32)/('Project SqFt'!$B$18:$B$87=C32),'Project SqFt'!$D$18:$D$87),LOOKUP(2,1/('Project SqFt'!$H$18:$H$87=B32)/('Project SqFt'!$I$18:$I$87=C32),'Project SqFt'!$L$18:$L$87)),LOOKUP(2,1/('Project SqFt'!$P$18:$P$87=B32)/('Project SqFt'!$Q$18:$Q$87=C32),'Project SqFt'!$T$18:$T$87))),"")</f>
        <v/>
      </c>
      <c r="E32" s="758"/>
      <c r="F32" s="1191"/>
      <c r="G32" s="753"/>
      <c r="H32" s="753"/>
      <c r="I32" s="860"/>
      <c r="J32" s="861"/>
      <c r="K32" s="886" t="str">
        <f t="shared" si="0"/>
        <v/>
      </c>
      <c r="L32" s="886"/>
      <c r="M32" s="725"/>
      <c r="N32" s="29"/>
      <c r="O32" s="489"/>
      <c r="P32" s="29"/>
      <c r="Q32" s="29"/>
      <c r="R32" s="29"/>
      <c r="S32" s="29"/>
      <c r="T32" s="489"/>
      <c r="U32" s="147"/>
      <c r="V32" s="147" t="str">
        <f t="shared" si="1"/>
        <v/>
      </c>
      <c r="W32" s="147" t="str">
        <f t="shared" si="2"/>
        <v/>
      </c>
      <c r="X32" s="147" t="str">
        <f t="shared" si="3"/>
        <v/>
      </c>
      <c r="Y32" s="147" t="str">
        <f t="shared" si="4"/>
        <v/>
      </c>
      <c r="Z32" s="147" t="str">
        <f t="shared" si="5"/>
        <v/>
      </c>
    </row>
    <row r="33" spans="1:26" s="420" customFormat="1" ht="15" customHeight="1" x14ac:dyDescent="0.25">
      <c r="A33" s="147">
        <v>8</v>
      </c>
      <c r="B33" s="29"/>
      <c r="C33" s="29"/>
      <c r="D33" s="194" t="str" cm="1">
        <f t="array" ref="D33">IFERROR(IF(IFERROR(_xlfn.IFNA(LOOKUP(2,1/('Project SqFt'!$A$18:$A$87=B33)/('Project SqFt'!$B$18:$B$87=C33),'Project SqFt'!$D$18:$D$87),LOOKUP(2,1/('Project SqFt'!$H$18:$H$87=B33)/('Project SqFt'!$I$18:$I$87=C33),'Project SqFt'!$L$18:$L$87)),LOOKUP(2,1/('Project SqFt'!$P$18:$P$87=B33)/('Project SqFt'!$Q$18:$Q$87=C33),'Project SqFt'!$T$18:$T$87))="","",IFERROR(_xlfn.IFNA(LOOKUP(2,1/('Project SqFt'!$A$18:$A$87=B33)/('Project SqFt'!$B$18:$B$87=C33),'Project SqFt'!$D$18:$D$87),LOOKUP(2,1/('Project SqFt'!$H$18:$H$87=B33)/('Project SqFt'!$I$18:$I$87=C33),'Project SqFt'!$L$18:$L$87)),LOOKUP(2,1/('Project SqFt'!$P$18:$P$87=B33)/('Project SqFt'!$Q$18:$Q$87=C33),'Project SqFt'!$T$18:$T$87))),"")</f>
        <v/>
      </c>
      <c r="E33" s="758"/>
      <c r="F33" s="1191"/>
      <c r="G33" s="753"/>
      <c r="H33" s="753"/>
      <c r="I33" s="860"/>
      <c r="J33" s="861"/>
      <c r="K33" s="886" t="str">
        <f t="shared" si="0"/>
        <v/>
      </c>
      <c r="L33" s="886"/>
      <c r="M33" s="725"/>
      <c r="N33" s="29"/>
      <c r="O33" s="489"/>
      <c r="P33" s="29"/>
      <c r="Q33" s="29"/>
      <c r="R33" s="29"/>
      <c r="S33" s="29"/>
      <c r="T33" s="489"/>
      <c r="U33" s="147"/>
      <c r="V33" s="147" t="str">
        <f t="shared" si="1"/>
        <v/>
      </c>
      <c r="W33" s="147" t="str">
        <f t="shared" si="2"/>
        <v/>
      </c>
      <c r="X33" s="147" t="str">
        <f t="shared" si="3"/>
        <v/>
      </c>
      <c r="Y33" s="147" t="str">
        <f t="shared" si="4"/>
        <v/>
      </c>
      <c r="Z33" s="147" t="str">
        <f t="shared" si="5"/>
        <v/>
      </c>
    </row>
    <row r="34" spans="1:26" s="420" customFormat="1" ht="15" customHeight="1" x14ac:dyDescent="0.25">
      <c r="A34" s="147">
        <v>9</v>
      </c>
      <c r="B34" s="29"/>
      <c r="C34" s="29"/>
      <c r="D34" s="194" t="str" cm="1">
        <f t="array" ref="D34">IFERROR(IF(IFERROR(_xlfn.IFNA(LOOKUP(2,1/('Project SqFt'!$A$18:$A$87=B34)/('Project SqFt'!$B$18:$B$87=C34),'Project SqFt'!$D$18:$D$87),LOOKUP(2,1/('Project SqFt'!$H$18:$H$87=B34)/('Project SqFt'!$I$18:$I$87=C34),'Project SqFt'!$L$18:$L$87)),LOOKUP(2,1/('Project SqFt'!$P$18:$P$87=B34)/('Project SqFt'!$Q$18:$Q$87=C34),'Project SqFt'!$T$18:$T$87))="","",IFERROR(_xlfn.IFNA(LOOKUP(2,1/('Project SqFt'!$A$18:$A$87=B34)/('Project SqFt'!$B$18:$B$87=C34),'Project SqFt'!$D$18:$D$87),LOOKUP(2,1/('Project SqFt'!$H$18:$H$87=B34)/('Project SqFt'!$I$18:$I$87=C34),'Project SqFt'!$L$18:$L$87)),LOOKUP(2,1/('Project SqFt'!$P$18:$P$87=B34)/('Project SqFt'!$Q$18:$Q$87=C34),'Project SqFt'!$T$18:$T$87))),"")</f>
        <v/>
      </c>
      <c r="E34" s="758"/>
      <c r="F34" s="1191"/>
      <c r="G34" s="753"/>
      <c r="H34" s="753"/>
      <c r="I34" s="860"/>
      <c r="J34" s="861"/>
      <c r="K34" s="886" t="str">
        <f t="shared" si="0"/>
        <v/>
      </c>
      <c r="L34" s="886"/>
      <c r="M34" s="725"/>
      <c r="N34" s="29"/>
      <c r="O34" s="489"/>
      <c r="P34" s="29"/>
      <c r="Q34" s="29"/>
      <c r="R34" s="29"/>
      <c r="S34" s="29"/>
      <c r="T34" s="489"/>
      <c r="U34" s="147"/>
      <c r="V34" s="147" t="str">
        <f t="shared" si="1"/>
        <v/>
      </c>
      <c r="W34" s="147" t="str">
        <f t="shared" si="2"/>
        <v/>
      </c>
      <c r="X34" s="147" t="str">
        <f t="shared" si="3"/>
        <v/>
      </c>
      <c r="Y34" s="147" t="str">
        <f t="shared" si="4"/>
        <v/>
      </c>
      <c r="Z34" s="147" t="str">
        <f t="shared" si="5"/>
        <v/>
      </c>
    </row>
    <row r="35" spans="1:26" s="420" customFormat="1" ht="15" customHeight="1" x14ac:dyDescent="0.25">
      <c r="A35" s="147">
        <v>10</v>
      </c>
      <c r="B35" s="29"/>
      <c r="C35" s="29"/>
      <c r="D35" s="194" t="str" cm="1">
        <f t="array" ref="D35">IFERROR(IF(IFERROR(_xlfn.IFNA(LOOKUP(2,1/('Project SqFt'!$A$18:$A$87=B35)/('Project SqFt'!$B$18:$B$87=C35),'Project SqFt'!$D$18:$D$87),LOOKUP(2,1/('Project SqFt'!$H$18:$H$87=B35)/('Project SqFt'!$I$18:$I$87=C35),'Project SqFt'!$L$18:$L$87)),LOOKUP(2,1/('Project SqFt'!$P$18:$P$87=B35)/('Project SqFt'!$Q$18:$Q$87=C35),'Project SqFt'!$T$18:$T$87))="","",IFERROR(_xlfn.IFNA(LOOKUP(2,1/('Project SqFt'!$A$18:$A$87=B35)/('Project SqFt'!$B$18:$B$87=C35),'Project SqFt'!$D$18:$D$87),LOOKUP(2,1/('Project SqFt'!$H$18:$H$87=B35)/('Project SqFt'!$I$18:$I$87=C35),'Project SqFt'!$L$18:$L$87)),LOOKUP(2,1/('Project SqFt'!$P$18:$P$87=B35)/('Project SqFt'!$Q$18:$Q$87=C35),'Project SqFt'!$T$18:$T$87))),"")</f>
        <v/>
      </c>
      <c r="E35" s="758"/>
      <c r="F35" s="1191"/>
      <c r="G35" s="753"/>
      <c r="H35" s="753"/>
      <c r="I35" s="860"/>
      <c r="J35" s="861"/>
      <c r="K35" s="886" t="str">
        <f t="shared" si="0"/>
        <v/>
      </c>
      <c r="L35" s="886"/>
      <c r="M35" s="725"/>
      <c r="N35" s="29"/>
      <c r="O35" s="489"/>
      <c r="P35" s="29"/>
      <c r="Q35" s="29"/>
      <c r="R35" s="29"/>
      <c r="S35" s="29"/>
      <c r="T35" s="489"/>
      <c r="U35" s="147"/>
      <c r="V35" s="147" t="str">
        <f t="shared" si="1"/>
        <v/>
      </c>
      <c r="W35" s="147" t="str">
        <f t="shared" si="2"/>
        <v/>
      </c>
      <c r="X35" s="147" t="str">
        <f t="shared" si="3"/>
        <v/>
      </c>
      <c r="Y35" s="147" t="str">
        <f t="shared" si="4"/>
        <v/>
      </c>
      <c r="Z35" s="147" t="str">
        <f t="shared" si="5"/>
        <v/>
      </c>
    </row>
    <row r="36" spans="1:26" s="420" customFormat="1" ht="15" customHeight="1" x14ac:dyDescent="0.25">
      <c r="A36" s="147">
        <v>11</v>
      </c>
      <c r="B36" s="29"/>
      <c r="C36" s="29"/>
      <c r="D36" s="194" t="str" cm="1">
        <f t="array" ref="D36">IFERROR(IF(IFERROR(_xlfn.IFNA(LOOKUP(2,1/('Project SqFt'!$A$18:$A$87=B36)/('Project SqFt'!$B$18:$B$87=C36),'Project SqFt'!$D$18:$D$87),LOOKUP(2,1/('Project SqFt'!$H$18:$H$87=B36)/('Project SqFt'!$I$18:$I$87=C36),'Project SqFt'!$L$18:$L$87)),LOOKUP(2,1/('Project SqFt'!$P$18:$P$87=B36)/('Project SqFt'!$Q$18:$Q$87=C36),'Project SqFt'!$T$18:$T$87))="","",IFERROR(_xlfn.IFNA(LOOKUP(2,1/('Project SqFt'!$A$18:$A$87=B36)/('Project SqFt'!$B$18:$B$87=C36),'Project SqFt'!$D$18:$D$87),LOOKUP(2,1/('Project SqFt'!$H$18:$H$87=B36)/('Project SqFt'!$I$18:$I$87=C36),'Project SqFt'!$L$18:$L$87)),LOOKUP(2,1/('Project SqFt'!$P$18:$P$87=B36)/('Project SqFt'!$Q$18:$Q$87=C36),'Project SqFt'!$T$18:$T$87))),"")</f>
        <v/>
      </c>
      <c r="E36" s="758"/>
      <c r="F36" s="1191"/>
      <c r="G36" s="753"/>
      <c r="H36" s="753"/>
      <c r="I36" s="860"/>
      <c r="J36" s="861"/>
      <c r="K36" s="886" t="str">
        <f t="shared" si="0"/>
        <v/>
      </c>
      <c r="L36" s="886"/>
      <c r="M36" s="725"/>
      <c r="N36" s="29"/>
      <c r="O36" s="489"/>
      <c r="P36" s="29"/>
      <c r="Q36" s="29"/>
      <c r="R36" s="29"/>
      <c r="S36" s="29"/>
      <c r="T36" s="489"/>
      <c r="U36" s="147"/>
      <c r="V36" s="147" t="str">
        <f t="shared" si="1"/>
        <v/>
      </c>
      <c r="W36" s="147" t="str">
        <f t="shared" si="2"/>
        <v/>
      </c>
      <c r="X36" s="147" t="str">
        <f t="shared" si="3"/>
        <v/>
      </c>
      <c r="Y36" s="147" t="str">
        <f t="shared" si="4"/>
        <v/>
      </c>
      <c r="Z36" s="147" t="str">
        <f t="shared" si="5"/>
        <v/>
      </c>
    </row>
    <row r="37" spans="1:26" s="420" customFormat="1" ht="15" customHeight="1" x14ac:dyDescent="0.25">
      <c r="A37" s="147">
        <v>12</v>
      </c>
      <c r="B37" s="29"/>
      <c r="C37" s="29"/>
      <c r="D37" s="194" t="str" cm="1">
        <f t="array" ref="D37">IFERROR(IF(IFERROR(_xlfn.IFNA(LOOKUP(2,1/('Project SqFt'!$A$18:$A$87=B37)/('Project SqFt'!$B$18:$B$87=C37),'Project SqFt'!$D$18:$D$87),LOOKUP(2,1/('Project SqFt'!$H$18:$H$87=B37)/('Project SqFt'!$I$18:$I$87=C37),'Project SqFt'!$L$18:$L$87)),LOOKUP(2,1/('Project SqFt'!$P$18:$P$87=B37)/('Project SqFt'!$Q$18:$Q$87=C37),'Project SqFt'!$T$18:$T$87))="","",IFERROR(_xlfn.IFNA(LOOKUP(2,1/('Project SqFt'!$A$18:$A$87=B37)/('Project SqFt'!$B$18:$B$87=C37),'Project SqFt'!$D$18:$D$87),LOOKUP(2,1/('Project SqFt'!$H$18:$H$87=B37)/('Project SqFt'!$I$18:$I$87=C37),'Project SqFt'!$L$18:$L$87)),LOOKUP(2,1/('Project SqFt'!$P$18:$P$87=B37)/('Project SqFt'!$Q$18:$Q$87=C37),'Project SqFt'!$T$18:$T$87))),"")</f>
        <v/>
      </c>
      <c r="E37" s="758"/>
      <c r="F37" s="1191"/>
      <c r="G37" s="753"/>
      <c r="H37" s="753"/>
      <c r="I37" s="860"/>
      <c r="J37" s="861"/>
      <c r="K37" s="886" t="str">
        <f t="shared" si="0"/>
        <v/>
      </c>
      <c r="L37" s="886"/>
      <c r="M37" s="725"/>
      <c r="N37" s="29"/>
      <c r="O37" s="489"/>
      <c r="P37" s="29"/>
      <c r="Q37" s="29"/>
      <c r="R37" s="29"/>
      <c r="S37" s="29"/>
      <c r="T37" s="489"/>
      <c r="U37" s="147"/>
      <c r="V37" s="147" t="str">
        <f t="shared" si="1"/>
        <v/>
      </c>
      <c r="W37" s="147" t="str">
        <f t="shared" si="2"/>
        <v/>
      </c>
      <c r="X37" s="147" t="str">
        <f t="shared" si="3"/>
        <v/>
      </c>
      <c r="Y37" s="147" t="str">
        <f t="shared" si="4"/>
        <v/>
      </c>
      <c r="Z37" s="147" t="str">
        <f t="shared" si="5"/>
        <v/>
      </c>
    </row>
    <row r="38" spans="1:26" s="420" customFormat="1" ht="15" customHeight="1" x14ac:dyDescent="0.25">
      <c r="A38" s="147">
        <v>13</v>
      </c>
      <c r="B38" s="29"/>
      <c r="C38" s="29"/>
      <c r="D38" s="194" t="str" cm="1">
        <f t="array" ref="D38">IFERROR(IF(IFERROR(_xlfn.IFNA(LOOKUP(2,1/('Project SqFt'!$A$18:$A$87=B38)/('Project SqFt'!$B$18:$B$87=C38),'Project SqFt'!$D$18:$D$87),LOOKUP(2,1/('Project SqFt'!$H$18:$H$87=B38)/('Project SqFt'!$I$18:$I$87=C38),'Project SqFt'!$L$18:$L$87)),LOOKUP(2,1/('Project SqFt'!$P$18:$P$87=B38)/('Project SqFt'!$Q$18:$Q$87=C38),'Project SqFt'!$T$18:$T$87))="","",IFERROR(_xlfn.IFNA(LOOKUP(2,1/('Project SqFt'!$A$18:$A$87=B38)/('Project SqFt'!$B$18:$B$87=C38),'Project SqFt'!$D$18:$D$87),LOOKUP(2,1/('Project SqFt'!$H$18:$H$87=B38)/('Project SqFt'!$I$18:$I$87=C38),'Project SqFt'!$L$18:$L$87)),LOOKUP(2,1/('Project SqFt'!$P$18:$P$87=B38)/('Project SqFt'!$Q$18:$Q$87=C38),'Project SqFt'!$T$18:$T$87))),"")</f>
        <v/>
      </c>
      <c r="E38" s="758"/>
      <c r="F38" s="1191"/>
      <c r="G38" s="753"/>
      <c r="H38" s="753"/>
      <c r="I38" s="860"/>
      <c r="J38" s="861"/>
      <c r="K38" s="886" t="str">
        <f t="shared" si="0"/>
        <v/>
      </c>
      <c r="L38" s="886"/>
      <c r="M38" s="725"/>
      <c r="N38" s="29"/>
      <c r="O38" s="489"/>
      <c r="P38" s="29"/>
      <c r="Q38" s="29"/>
      <c r="R38" s="29"/>
      <c r="S38" s="29"/>
      <c r="T38" s="489"/>
      <c r="U38" s="147"/>
      <c r="V38" s="147" t="str">
        <f t="shared" si="1"/>
        <v/>
      </c>
      <c r="W38" s="147" t="str">
        <f t="shared" si="2"/>
        <v/>
      </c>
      <c r="X38" s="147" t="str">
        <f t="shared" si="3"/>
        <v/>
      </c>
      <c r="Y38" s="147" t="str">
        <f t="shared" si="4"/>
        <v/>
      </c>
      <c r="Z38" s="147" t="str">
        <f t="shared" si="5"/>
        <v/>
      </c>
    </row>
    <row r="39" spans="1:26" s="420" customFormat="1" ht="15" customHeight="1" x14ac:dyDescent="0.25">
      <c r="A39" s="147">
        <v>14</v>
      </c>
      <c r="B39" s="29"/>
      <c r="C39" s="29"/>
      <c r="D39" s="194" t="str" cm="1">
        <f t="array" ref="D39">IFERROR(IF(IFERROR(_xlfn.IFNA(LOOKUP(2,1/('Project SqFt'!$A$18:$A$87=B39)/('Project SqFt'!$B$18:$B$87=C39),'Project SqFt'!$D$18:$D$87),LOOKUP(2,1/('Project SqFt'!$H$18:$H$87=B39)/('Project SqFt'!$I$18:$I$87=C39),'Project SqFt'!$L$18:$L$87)),LOOKUP(2,1/('Project SqFt'!$P$18:$P$87=B39)/('Project SqFt'!$Q$18:$Q$87=C39),'Project SqFt'!$T$18:$T$87))="","",IFERROR(_xlfn.IFNA(LOOKUP(2,1/('Project SqFt'!$A$18:$A$87=B39)/('Project SqFt'!$B$18:$B$87=C39),'Project SqFt'!$D$18:$D$87),LOOKUP(2,1/('Project SqFt'!$H$18:$H$87=B39)/('Project SqFt'!$I$18:$I$87=C39),'Project SqFt'!$L$18:$L$87)),LOOKUP(2,1/('Project SqFt'!$P$18:$P$87=B39)/('Project SqFt'!$Q$18:$Q$87=C39),'Project SqFt'!$T$18:$T$87))),"")</f>
        <v/>
      </c>
      <c r="E39" s="758"/>
      <c r="F39" s="1191"/>
      <c r="G39" s="753"/>
      <c r="H39" s="753"/>
      <c r="I39" s="860"/>
      <c r="J39" s="861"/>
      <c r="K39" s="886" t="str">
        <f t="shared" si="0"/>
        <v/>
      </c>
      <c r="L39" s="886"/>
      <c r="M39" s="725"/>
      <c r="N39" s="29"/>
      <c r="O39" s="489"/>
      <c r="P39" s="29"/>
      <c r="Q39" s="29"/>
      <c r="R39" s="29"/>
      <c r="S39" s="29"/>
      <c r="T39" s="489"/>
      <c r="U39" s="147"/>
      <c r="V39" s="147" t="str">
        <f t="shared" si="1"/>
        <v/>
      </c>
      <c r="W39" s="147" t="str">
        <f t="shared" si="2"/>
        <v/>
      </c>
      <c r="X39" s="147" t="str">
        <f t="shared" si="3"/>
        <v/>
      </c>
      <c r="Y39" s="147" t="str">
        <f t="shared" si="4"/>
        <v/>
      </c>
      <c r="Z39" s="147" t="str">
        <f t="shared" si="5"/>
        <v/>
      </c>
    </row>
    <row r="40" spans="1:26" s="420" customFormat="1" ht="15" customHeight="1" x14ac:dyDescent="0.25">
      <c r="A40" s="147">
        <v>15</v>
      </c>
      <c r="B40" s="29"/>
      <c r="C40" s="29"/>
      <c r="D40" s="194" t="str" cm="1">
        <f t="array" ref="D40">IFERROR(IF(IFERROR(_xlfn.IFNA(LOOKUP(2,1/('Project SqFt'!$A$18:$A$87=B40)/('Project SqFt'!$B$18:$B$87=C40),'Project SqFt'!$D$18:$D$87),LOOKUP(2,1/('Project SqFt'!$H$18:$H$87=B40)/('Project SqFt'!$I$18:$I$87=C40),'Project SqFt'!$L$18:$L$87)),LOOKUP(2,1/('Project SqFt'!$P$18:$P$87=B40)/('Project SqFt'!$Q$18:$Q$87=C40),'Project SqFt'!$T$18:$T$87))="","",IFERROR(_xlfn.IFNA(LOOKUP(2,1/('Project SqFt'!$A$18:$A$87=B40)/('Project SqFt'!$B$18:$B$87=C40),'Project SqFt'!$D$18:$D$87),LOOKUP(2,1/('Project SqFt'!$H$18:$H$87=B40)/('Project SqFt'!$I$18:$I$87=C40),'Project SqFt'!$L$18:$L$87)),LOOKUP(2,1/('Project SqFt'!$P$18:$P$87=B40)/('Project SqFt'!$Q$18:$Q$87=C40),'Project SqFt'!$T$18:$T$87))),"")</f>
        <v/>
      </c>
      <c r="E40" s="758"/>
      <c r="F40" s="1191"/>
      <c r="G40" s="753"/>
      <c r="H40" s="753"/>
      <c r="I40" s="860"/>
      <c r="J40" s="861"/>
      <c r="K40" s="886" t="str">
        <f t="shared" si="0"/>
        <v/>
      </c>
      <c r="L40" s="886"/>
      <c r="M40" s="725"/>
      <c r="N40" s="29"/>
      <c r="O40" s="489"/>
      <c r="P40" s="29"/>
      <c r="Q40" s="29"/>
      <c r="R40" s="29"/>
      <c r="S40" s="29"/>
      <c r="T40" s="489"/>
      <c r="U40" s="147"/>
      <c r="V40" s="147" t="str">
        <f t="shared" si="1"/>
        <v/>
      </c>
      <c r="W40" s="147" t="str">
        <f t="shared" si="2"/>
        <v/>
      </c>
      <c r="X40" s="147" t="str">
        <f t="shared" si="3"/>
        <v/>
      </c>
      <c r="Y40" s="147" t="str">
        <f t="shared" si="4"/>
        <v/>
      </c>
      <c r="Z40" s="147" t="str">
        <f t="shared" si="5"/>
        <v/>
      </c>
    </row>
    <row r="41" spans="1:26" s="420" customFormat="1" ht="15" customHeight="1" x14ac:dyDescent="0.25">
      <c r="A41" s="147">
        <v>16</v>
      </c>
      <c r="B41" s="29"/>
      <c r="C41" s="29"/>
      <c r="D41" s="194" t="str" cm="1">
        <f t="array" ref="D41">IFERROR(IF(IFERROR(_xlfn.IFNA(LOOKUP(2,1/('Project SqFt'!$A$18:$A$87=B41)/('Project SqFt'!$B$18:$B$87=C41),'Project SqFt'!$D$18:$D$87),LOOKUP(2,1/('Project SqFt'!$H$18:$H$87=B41)/('Project SqFt'!$I$18:$I$87=C41),'Project SqFt'!$L$18:$L$87)),LOOKUP(2,1/('Project SqFt'!$P$18:$P$87=B41)/('Project SqFt'!$Q$18:$Q$87=C41),'Project SqFt'!$T$18:$T$87))="","",IFERROR(_xlfn.IFNA(LOOKUP(2,1/('Project SqFt'!$A$18:$A$87=B41)/('Project SqFt'!$B$18:$B$87=C41),'Project SqFt'!$D$18:$D$87),LOOKUP(2,1/('Project SqFt'!$H$18:$H$87=B41)/('Project SqFt'!$I$18:$I$87=C41),'Project SqFt'!$L$18:$L$87)),LOOKUP(2,1/('Project SqFt'!$P$18:$P$87=B41)/('Project SqFt'!$Q$18:$Q$87=C41),'Project SqFt'!$T$18:$T$87))),"")</f>
        <v/>
      </c>
      <c r="E41" s="758"/>
      <c r="F41" s="1191"/>
      <c r="G41" s="753"/>
      <c r="H41" s="753"/>
      <c r="I41" s="860"/>
      <c r="J41" s="861"/>
      <c r="K41" s="886" t="str">
        <f t="shared" si="0"/>
        <v/>
      </c>
      <c r="L41" s="886"/>
      <c r="M41" s="725"/>
      <c r="N41" s="29"/>
      <c r="O41" s="489"/>
      <c r="P41" s="29"/>
      <c r="Q41" s="29"/>
      <c r="R41" s="29"/>
      <c r="S41" s="29"/>
      <c r="T41" s="489"/>
      <c r="U41" s="147"/>
      <c r="V41" s="147" t="str">
        <f t="shared" si="1"/>
        <v/>
      </c>
      <c r="W41" s="147" t="str">
        <f t="shared" si="2"/>
        <v/>
      </c>
      <c r="X41" s="147" t="str">
        <f t="shared" si="3"/>
        <v/>
      </c>
      <c r="Y41" s="147" t="str">
        <f t="shared" si="4"/>
        <v/>
      </c>
      <c r="Z41" s="147" t="str">
        <f t="shared" si="5"/>
        <v/>
      </c>
    </row>
    <row r="42" spans="1:26" s="420" customFormat="1" ht="15" customHeight="1" x14ac:dyDescent="0.25">
      <c r="A42" s="147">
        <v>17</v>
      </c>
      <c r="B42" s="29"/>
      <c r="C42" s="29"/>
      <c r="D42" s="194" t="str" cm="1">
        <f t="array" ref="D42">IFERROR(IF(IFERROR(_xlfn.IFNA(LOOKUP(2,1/('Project SqFt'!$A$18:$A$87=B42)/('Project SqFt'!$B$18:$B$87=C42),'Project SqFt'!$D$18:$D$87),LOOKUP(2,1/('Project SqFt'!$H$18:$H$87=B42)/('Project SqFt'!$I$18:$I$87=C42),'Project SqFt'!$L$18:$L$87)),LOOKUP(2,1/('Project SqFt'!$P$18:$P$87=B42)/('Project SqFt'!$Q$18:$Q$87=C42),'Project SqFt'!$T$18:$T$87))="","",IFERROR(_xlfn.IFNA(LOOKUP(2,1/('Project SqFt'!$A$18:$A$87=B42)/('Project SqFt'!$B$18:$B$87=C42),'Project SqFt'!$D$18:$D$87),LOOKUP(2,1/('Project SqFt'!$H$18:$H$87=B42)/('Project SqFt'!$I$18:$I$87=C42),'Project SqFt'!$L$18:$L$87)),LOOKUP(2,1/('Project SqFt'!$P$18:$P$87=B42)/('Project SqFt'!$Q$18:$Q$87=C42),'Project SqFt'!$T$18:$T$87))),"")</f>
        <v/>
      </c>
      <c r="E42" s="758"/>
      <c r="F42" s="1191"/>
      <c r="G42" s="753"/>
      <c r="H42" s="753"/>
      <c r="I42" s="860"/>
      <c r="J42" s="861"/>
      <c r="K42" s="886" t="str">
        <f t="shared" si="0"/>
        <v/>
      </c>
      <c r="L42" s="886"/>
      <c r="M42" s="725"/>
      <c r="N42" s="29"/>
      <c r="O42" s="489"/>
      <c r="P42" s="29"/>
      <c r="Q42" s="29"/>
      <c r="R42" s="29"/>
      <c r="S42" s="29"/>
      <c r="T42" s="489"/>
      <c r="U42" s="147"/>
      <c r="V42" s="147" t="str">
        <f t="shared" si="1"/>
        <v/>
      </c>
      <c r="W42" s="147" t="str">
        <f t="shared" si="2"/>
        <v/>
      </c>
      <c r="X42" s="147" t="str">
        <f t="shared" si="3"/>
        <v/>
      </c>
      <c r="Y42" s="147" t="str">
        <f t="shared" si="4"/>
        <v/>
      </c>
      <c r="Z42" s="147" t="str">
        <f t="shared" si="5"/>
        <v/>
      </c>
    </row>
    <row r="43" spans="1:26" s="420" customFormat="1" ht="15" customHeight="1" x14ac:dyDescent="0.25">
      <c r="A43" s="147">
        <v>18</v>
      </c>
      <c r="B43" s="29"/>
      <c r="C43" s="29"/>
      <c r="D43" s="194" t="str" cm="1">
        <f t="array" ref="D43">IFERROR(IF(IFERROR(_xlfn.IFNA(LOOKUP(2,1/('Project SqFt'!$A$18:$A$87=B43)/('Project SqFt'!$B$18:$B$87=C43),'Project SqFt'!$D$18:$D$87),LOOKUP(2,1/('Project SqFt'!$H$18:$H$87=B43)/('Project SqFt'!$I$18:$I$87=C43),'Project SqFt'!$L$18:$L$87)),LOOKUP(2,1/('Project SqFt'!$P$18:$P$87=B43)/('Project SqFt'!$Q$18:$Q$87=C43),'Project SqFt'!$T$18:$T$87))="","",IFERROR(_xlfn.IFNA(LOOKUP(2,1/('Project SqFt'!$A$18:$A$87=B43)/('Project SqFt'!$B$18:$B$87=C43),'Project SqFt'!$D$18:$D$87),LOOKUP(2,1/('Project SqFt'!$H$18:$H$87=B43)/('Project SqFt'!$I$18:$I$87=C43),'Project SqFt'!$L$18:$L$87)),LOOKUP(2,1/('Project SqFt'!$P$18:$P$87=B43)/('Project SqFt'!$Q$18:$Q$87=C43),'Project SqFt'!$T$18:$T$87))),"")</f>
        <v/>
      </c>
      <c r="E43" s="758"/>
      <c r="F43" s="1191"/>
      <c r="G43" s="753"/>
      <c r="H43" s="753"/>
      <c r="I43" s="860"/>
      <c r="J43" s="861"/>
      <c r="K43" s="886" t="str">
        <f t="shared" si="0"/>
        <v/>
      </c>
      <c r="L43" s="886"/>
      <c r="M43" s="725"/>
      <c r="N43" s="29"/>
      <c r="O43" s="489"/>
      <c r="P43" s="29"/>
      <c r="Q43" s="29"/>
      <c r="R43" s="29"/>
      <c r="S43" s="29"/>
      <c r="T43" s="489"/>
      <c r="U43" s="147"/>
      <c r="V43" s="147" t="str">
        <f t="shared" si="1"/>
        <v/>
      </c>
      <c r="W43" s="147" t="str">
        <f t="shared" si="2"/>
        <v/>
      </c>
      <c r="X43" s="147" t="str">
        <f t="shared" si="3"/>
        <v/>
      </c>
      <c r="Y43" s="147" t="str">
        <f t="shared" si="4"/>
        <v/>
      </c>
      <c r="Z43" s="147" t="str">
        <f t="shared" si="5"/>
        <v/>
      </c>
    </row>
    <row r="44" spans="1:26" s="420" customFormat="1" x14ac:dyDescent="0.25">
      <c r="A44" s="147">
        <v>19</v>
      </c>
      <c r="B44" s="29"/>
      <c r="C44" s="29"/>
      <c r="D44" s="194" t="str" cm="1">
        <f t="array" ref="D44">IFERROR(IF(IFERROR(_xlfn.IFNA(LOOKUP(2,1/('Project SqFt'!$A$18:$A$87=B44)/('Project SqFt'!$B$18:$B$87=C44),'Project SqFt'!$D$18:$D$87),LOOKUP(2,1/('Project SqFt'!$H$18:$H$87=B44)/('Project SqFt'!$I$18:$I$87=C44),'Project SqFt'!$L$18:$L$87)),LOOKUP(2,1/('Project SqFt'!$P$18:$P$87=B44)/('Project SqFt'!$Q$18:$Q$87=C44),'Project SqFt'!$T$18:$T$87))="","",IFERROR(_xlfn.IFNA(LOOKUP(2,1/('Project SqFt'!$A$18:$A$87=B44)/('Project SqFt'!$B$18:$B$87=C44),'Project SqFt'!$D$18:$D$87),LOOKUP(2,1/('Project SqFt'!$H$18:$H$87=B44)/('Project SqFt'!$I$18:$I$87=C44),'Project SqFt'!$L$18:$L$87)),LOOKUP(2,1/('Project SqFt'!$P$18:$P$87=B44)/('Project SqFt'!$Q$18:$Q$87=C44),'Project SqFt'!$T$18:$T$87))),"")</f>
        <v/>
      </c>
      <c r="E44" s="758"/>
      <c r="F44" s="1191"/>
      <c r="G44" s="753"/>
      <c r="H44" s="753"/>
      <c r="I44" s="860"/>
      <c r="J44" s="861"/>
      <c r="K44" s="886" t="str">
        <f t="shared" si="0"/>
        <v/>
      </c>
      <c r="L44" s="886"/>
      <c r="M44" s="725"/>
      <c r="N44" s="29"/>
      <c r="O44" s="489"/>
      <c r="P44" s="29"/>
      <c r="Q44" s="29"/>
      <c r="R44" s="29"/>
      <c r="S44" s="29"/>
      <c r="T44" s="489"/>
      <c r="U44" s="147"/>
      <c r="V44" s="147" t="str">
        <f t="shared" si="1"/>
        <v/>
      </c>
      <c r="W44" s="147" t="str">
        <f t="shared" si="2"/>
        <v/>
      </c>
      <c r="X44" s="147" t="str">
        <f t="shared" si="3"/>
        <v/>
      </c>
      <c r="Y44" s="147" t="str">
        <f t="shared" si="4"/>
        <v/>
      </c>
      <c r="Z44" s="147" t="str">
        <f t="shared" si="5"/>
        <v/>
      </c>
    </row>
    <row r="45" spans="1:26" s="420" customFormat="1" x14ac:dyDescent="0.25">
      <c r="A45" s="147">
        <v>20</v>
      </c>
      <c r="B45" s="29"/>
      <c r="C45" s="29"/>
      <c r="D45" s="194" t="str" cm="1">
        <f t="array" ref="D45">IFERROR(IF(IFERROR(_xlfn.IFNA(LOOKUP(2,1/('Project SqFt'!$A$18:$A$87=B45)/('Project SqFt'!$B$18:$B$87=C45),'Project SqFt'!$D$18:$D$87),LOOKUP(2,1/('Project SqFt'!$H$18:$H$87=B45)/('Project SqFt'!$I$18:$I$87=C45),'Project SqFt'!$L$18:$L$87)),LOOKUP(2,1/('Project SqFt'!$P$18:$P$87=B45)/('Project SqFt'!$Q$18:$Q$87=C45),'Project SqFt'!$T$18:$T$87))="","",IFERROR(_xlfn.IFNA(LOOKUP(2,1/('Project SqFt'!$A$18:$A$87=B45)/('Project SqFt'!$B$18:$B$87=C45),'Project SqFt'!$D$18:$D$87),LOOKUP(2,1/('Project SqFt'!$H$18:$H$87=B45)/('Project SqFt'!$I$18:$I$87=C45),'Project SqFt'!$L$18:$L$87)),LOOKUP(2,1/('Project SqFt'!$P$18:$P$87=B45)/('Project SqFt'!$Q$18:$Q$87=C45),'Project SqFt'!$T$18:$T$87))),"")</f>
        <v/>
      </c>
      <c r="E45" s="758"/>
      <c r="F45" s="1191"/>
      <c r="G45" s="753"/>
      <c r="H45" s="753"/>
      <c r="I45" s="860"/>
      <c r="J45" s="861"/>
      <c r="K45" s="886" t="str">
        <f t="shared" si="0"/>
        <v/>
      </c>
      <c r="L45" s="886"/>
      <c r="M45" s="725"/>
      <c r="N45" s="29"/>
      <c r="O45" s="489"/>
      <c r="P45" s="29"/>
      <c r="Q45" s="29"/>
      <c r="R45" s="29"/>
      <c r="S45" s="29"/>
      <c r="T45" s="489"/>
      <c r="U45" s="147"/>
      <c r="V45" s="147" t="str">
        <f t="shared" si="1"/>
        <v/>
      </c>
      <c r="W45" s="147" t="str">
        <f t="shared" si="2"/>
        <v/>
      </c>
      <c r="X45" s="147" t="str">
        <f t="shared" si="3"/>
        <v/>
      </c>
      <c r="Y45" s="147" t="str">
        <f t="shared" si="4"/>
        <v/>
      </c>
      <c r="Z45" s="147" t="str">
        <f t="shared" si="5"/>
        <v/>
      </c>
    </row>
    <row r="46" spans="1:26" s="420" customFormat="1" x14ac:dyDescent="0.25">
      <c r="A46" s="147">
        <v>21</v>
      </c>
      <c r="B46" s="29"/>
      <c r="C46" s="29"/>
      <c r="D46" s="194" t="str" cm="1">
        <f t="array" ref="D46">IFERROR(IF(IFERROR(_xlfn.IFNA(LOOKUP(2,1/('Project SqFt'!$A$18:$A$87=B46)/('Project SqFt'!$B$18:$B$87=C46),'Project SqFt'!$D$18:$D$87),LOOKUP(2,1/('Project SqFt'!$H$18:$H$87=B46)/('Project SqFt'!$I$18:$I$87=C46),'Project SqFt'!$L$18:$L$87)),LOOKUP(2,1/('Project SqFt'!$P$18:$P$87=B46)/('Project SqFt'!$Q$18:$Q$87=C46),'Project SqFt'!$T$18:$T$87))="","",IFERROR(_xlfn.IFNA(LOOKUP(2,1/('Project SqFt'!$A$18:$A$87=B46)/('Project SqFt'!$B$18:$B$87=C46),'Project SqFt'!$D$18:$D$87),LOOKUP(2,1/('Project SqFt'!$H$18:$H$87=B46)/('Project SqFt'!$I$18:$I$87=C46),'Project SqFt'!$L$18:$L$87)),LOOKUP(2,1/('Project SqFt'!$P$18:$P$87=B46)/('Project SqFt'!$Q$18:$Q$87=C46),'Project SqFt'!$T$18:$T$87))),"")</f>
        <v/>
      </c>
      <c r="E46" s="758"/>
      <c r="F46" s="1191"/>
      <c r="G46" s="753"/>
      <c r="H46" s="753"/>
      <c r="I46" s="860"/>
      <c r="J46" s="861"/>
      <c r="K46" s="886" t="str">
        <f t="shared" si="0"/>
        <v/>
      </c>
      <c r="L46" s="886"/>
      <c r="M46" s="725"/>
      <c r="N46" s="29"/>
      <c r="O46" s="489"/>
      <c r="P46" s="29"/>
      <c r="Q46" s="29"/>
      <c r="R46" s="29"/>
      <c r="S46" s="29"/>
      <c r="T46" s="489"/>
      <c r="U46" s="147"/>
      <c r="V46" s="147" t="str">
        <f t="shared" si="1"/>
        <v/>
      </c>
      <c r="W46" s="147" t="str">
        <f t="shared" si="2"/>
        <v/>
      </c>
      <c r="X46" s="147" t="str">
        <f t="shared" si="3"/>
        <v/>
      </c>
      <c r="Y46" s="147" t="str">
        <f t="shared" si="4"/>
        <v/>
      </c>
      <c r="Z46" s="147" t="str">
        <f t="shared" si="5"/>
        <v/>
      </c>
    </row>
    <row r="47" spans="1:26" s="420" customFormat="1" x14ac:dyDescent="0.25">
      <c r="A47" s="147">
        <v>22</v>
      </c>
      <c r="B47" s="29"/>
      <c r="C47" s="29"/>
      <c r="D47" s="194" t="str" cm="1">
        <f t="array" ref="D47">IFERROR(IF(IFERROR(_xlfn.IFNA(LOOKUP(2,1/('Project SqFt'!$A$18:$A$87=B47)/('Project SqFt'!$B$18:$B$87=C47),'Project SqFt'!$D$18:$D$87),LOOKUP(2,1/('Project SqFt'!$H$18:$H$87=B47)/('Project SqFt'!$I$18:$I$87=C47),'Project SqFt'!$L$18:$L$87)),LOOKUP(2,1/('Project SqFt'!$P$18:$P$87=B47)/('Project SqFt'!$Q$18:$Q$87=C47),'Project SqFt'!$T$18:$T$87))="","",IFERROR(_xlfn.IFNA(LOOKUP(2,1/('Project SqFt'!$A$18:$A$87=B47)/('Project SqFt'!$B$18:$B$87=C47),'Project SqFt'!$D$18:$D$87),LOOKUP(2,1/('Project SqFt'!$H$18:$H$87=B47)/('Project SqFt'!$I$18:$I$87=C47),'Project SqFt'!$L$18:$L$87)),LOOKUP(2,1/('Project SqFt'!$P$18:$P$87=B47)/('Project SqFt'!$Q$18:$Q$87=C47),'Project SqFt'!$T$18:$T$87))),"")</f>
        <v/>
      </c>
      <c r="E47" s="758"/>
      <c r="F47" s="1191"/>
      <c r="G47" s="753"/>
      <c r="H47" s="753"/>
      <c r="I47" s="860"/>
      <c r="J47" s="861"/>
      <c r="K47" s="886" t="str">
        <f t="shared" si="0"/>
        <v/>
      </c>
      <c r="L47" s="886"/>
      <c r="M47" s="725"/>
      <c r="N47" s="29"/>
      <c r="O47" s="489"/>
      <c r="P47" s="29"/>
      <c r="Q47" s="29"/>
      <c r="R47" s="29"/>
      <c r="S47" s="29"/>
      <c r="T47" s="489"/>
      <c r="U47" s="147"/>
      <c r="V47" s="147" t="str">
        <f t="shared" si="1"/>
        <v/>
      </c>
      <c r="W47" s="147" t="str">
        <f t="shared" si="2"/>
        <v/>
      </c>
      <c r="X47" s="147" t="str">
        <f t="shared" si="3"/>
        <v/>
      </c>
      <c r="Y47" s="147" t="str">
        <f t="shared" si="4"/>
        <v/>
      </c>
      <c r="Z47" s="147" t="str">
        <f t="shared" si="5"/>
        <v/>
      </c>
    </row>
    <row r="48" spans="1:26" x14ac:dyDescent="0.25">
      <c r="A48" s="147">
        <v>23</v>
      </c>
      <c r="B48" s="29"/>
      <c r="C48" s="29"/>
      <c r="D48" s="194" t="str" cm="1">
        <f t="array" ref="D48">IFERROR(IF(IFERROR(_xlfn.IFNA(LOOKUP(2,1/('Project SqFt'!$A$18:$A$87=B48)/('Project SqFt'!$B$18:$B$87=C48),'Project SqFt'!$D$18:$D$87),LOOKUP(2,1/('Project SqFt'!$H$18:$H$87=B48)/('Project SqFt'!$I$18:$I$87=C48),'Project SqFt'!$L$18:$L$87)),LOOKUP(2,1/('Project SqFt'!$P$18:$P$87=B48)/('Project SqFt'!$Q$18:$Q$87=C48),'Project SqFt'!$T$18:$T$87))="","",IFERROR(_xlfn.IFNA(LOOKUP(2,1/('Project SqFt'!$A$18:$A$87=B48)/('Project SqFt'!$B$18:$B$87=C48),'Project SqFt'!$D$18:$D$87),LOOKUP(2,1/('Project SqFt'!$H$18:$H$87=B48)/('Project SqFt'!$I$18:$I$87=C48),'Project SqFt'!$L$18:$L$87)),LOOKUP(2,1/('Project SqFt'!$P$18:$P$87=B48)/('Project SqFt'!$Q$18:$Q$87=C48),'Project SqFt'!$T$18:$T$87))),"")</f>
        <v/>
      </c>
      <c r="E48" s="758"/>
      <c r="F48" s="1191"/>
      <c r="G48" s="753"/>
      <c r="H48" s="753"/>
      <c r="I48" s="860"/>
      <c r="J48" s="861"/>
      <c r="K48" s="886" t="str">
        <f t="shared" si="0"/>
        <v/>
      </c>
      <c r="L48" s="886"/>
      <c r="M48" s="725"/>
      <c r="N48" s="29"/>
      <c r="O48" s="489"/>
      <c r="P48" s="29"/>
      <c r="Q48" s="29"/>
      <c r="R48" s="29"/>
      <c r="S48" s="29"/>
      <c r="T48" s="489"/>
      <c r="U48" s="147"/>
      <c r="V48" s="147" t="str">
        <f t="shared" si="1"/>
        <v/>
      </c>
      <c r="W48" s="147" t="str">
        <f t="shared" si="2"/>
        <v/>
      </c>
      <c r="X48" s="147" t="str">
        <f t="shared" si="3"/>
        <v/>
      </c>
      <c r="Y48" s="147" t="str">
        <f t="shared" si="4"/>
        <v/>
      </c>
      <c r="Z48" s="147" t="str">
        <f t="shared" si="5"/>
        <v/>
      </c>
    </row>
    <row r="49" spans="1:26" x14ac:dyDescent="0.25">
      <c r="A49" s="147">
        <v>24</v>
      </c>
      <c r="B49" s="29"/>
      <c r="C49" s="29"/>
      <c r="D49" s="194" t="str" cm="1">
        <f t="array" ref="D49">IFERROR(IF(IFERROR(_xlfn.IFNA(LOOKUP(2,1/('Project SqFt'!$A$18:$A$87=B49)/('Project SqFt'!$B$18:$B$87=C49),'Project SqFt'!$D$18:$D$87),LOOKUP(2,1/('Project SqFt'!$H$18:$H$87=B49)/('Project SqFt'!$I$18:$I$87=C49),'Project SqFt'!$L$18:$L$87)),LOOKUP(2,1/('Project SqFt'!$P$18:$P$87=B49)/('Project SqFt'!$Q$18:$Q$87=C49),'Project SqFt'!$T$18:$T$87))="","",IFERROR(_xlfn.IFNA(LOOKUP(2,1/('Project SqFt'!$A$18:$A$87=B49)/('Project SqFt'!$B$18:$B$87=C49),'Project SqFt'!$D$18:$D$87),LOOKUP(2,1/('Project SqFt'!$H$18:$H$87=B49)/('Project SqFt'!$I$18:$I$87=C49),'Project SqFt'!$L$18:$L$87)),LOOKUP(2,1/('Project SqFt'!$P$18:$P$87=B49)/('Project SqFt'!$Q$18:$Q$87=C49),'Project SqFt'!$T$18:$T$87))),"")</f>
        <v/>
      </c>
      <c r="E49" s="758"/>
      <c r="F49" s="1191"/>
      <c r="G49" s="753"/>
      <c r="H49" s="753"/>
      <c r="I49" s="860"/>
      <c r="J49" s="861"/>
      <c r="K49" s="886" t="str">
        <f t="shared" si="0"/>
        <v/>
      </c>
      <c r="L49" s="886"/>
      <c r="M49" s="725"/>
      <c r="N49" s="29"/>
      <c r="O49" s="489"/>
      <c r="P49" s="29"/>
      <c r="Q49" s="29"/>
      <c r="R49" s="29"/>
      <c r="S49" s="29"/>
      <c r="T49" s="489"/>
      <c r="U49" s="147"/>
      <c r="V49" s="147" t="str">
        <f t="shared" si="1"/>
        <v/>
      </c>
      <c r="W49" s="147" t="str">
        <f t="shared" si="2"/>
        <v/>
      </c>
      <c r="X49" s="147" t="str">
        <f t="shared" si="3"/>
        <v/>
      </c>
      <c r="Y49" s="147" t="str">
        <f t="shared" si="4"/>
        <v/>
      </c>
      <c r="Z49" s="147" t="str">
        <f t="shared" si="5"/>
        <v/>
      </c>
    </row>
    <row r="50" spans="1:26" x14ac:dyDescent="0.25">
      <c r="A50" s="147">
        <v>25</v>
      </c>
      <c r="B50" s="29"/>
      <c r="C50" s="29"/>
      <c r="D50" s="194" t="str" cm="1">
        <f t="array" ref="D50">IFERROR(IF(IFERROR(_xlfn.IFNA(LOOKUP(2,1/('Project SqFt'!$A$18:$A$87=B50)/('Project SqFt'!$B$18:$B$87=C50),'Project SqFt'!$D$18:$D$87),LOOKUP(2,1/('Project SqFt'!$H$18:$H$87=B50)/('Project SqFt'!$I$18:$I$87=C50),'Project SqFt'!$L$18:$L$87)),LOOKUP(2,1/('Project SqFt'!$P$18:$P$87=B50)/('Project SqFt'!$Q$18:$Q$87=C50),'Project SqFt'!$T$18:$T$87))="","",IFERROR(_xlfn.IFNA(LOOKUP(2,1/('Project SqFt'!$A$18:$A$87=B50)/('Project SqFt'!$B$18:$B$87=C50),'Project SqFt'!$D$18:$D$87),LOOKUP(2,1/('Project SqFt'!$H$18:$H$87=B50)/('Project SqFt'!$I$18:$I$87=C50),'Project SqFt'!$L$18:$L$87)),LOOKUP(2,1/('Project SqFt'!$P$18:$P$87=B50)/('Project SqFt'!$Q$18:$Q$87=C50),'Project SqFt'!$T$18:$T$87))),"")</f>
        <v/>
      </c>
      <c r="E50" s="758"/>
      <c r="F50" s="1191"/>
      <c r="G50" s="753"/>
      <c r="H50" s="753"/>
      <c r="I50" s="860"/>
      <c r="J50" s="861"/>
      <c r="K50" s="886" t="str">
        <f t="shared" si="0"/>
        <v/>
      </c>
      <c r="L50" s="886"/>
      <c r="M50" s="725"/>
      <c r="N50" s="29"/>
      <c r="O50" s="489"/>
      <c r="P50" s="29"/>
      <c r="Q50" s="29"/>
      <c r="R50" s="29"/>
      <c r="S50" s="29"/>
      <c r="T50" s="489"/>
      <c r="U50" s="147"/>
      <c r="V50" s="147" t="str">
        <f t="shared" si="1"/>
        <v/>
      </c>
      <c r="W50" s="147" t="str">
        <f t="shared" si="2"/>
        <v/>
      </c>
      <c r="X50" s="147" t="str">
        <f t="shared" si="3"/>
        <v/>
      </c>
      <c r="Y50" s="147" t="str">
        <f t="shared" si="4"/>
        <v/>
      </c>
      <c r="Z50" s="147" t="str">
        <f t="shared" si="5"/>
        <v/>
      </c>
    </row>
    <row r="51" spans="1:26" x14ac:dyDescent="0.25">
      <c r="A51" s="147">
        <v>26</v>
      </c>
      <c r="B51" s="29"/>
      <c r="C51" s="29"/>
      <c r="D51" s="194" t="str" cm="1">
        <f t="array" ref="D51">IFERROR(IF(IFERROR(_xlfn.IFNA(LOOKUP(2,1/('Project SqFt'!$A$18:$A$87=B51)/('Project SqFt'!$B$18:$B$87=C51),'Project SqFt'!$D$18:$D$87),LOOKUP(2,1/('Project SqFt'!$H$18:$H$87=B51)/('Project SqFt'!$I$18:$I$87=C51),'Project SqFt'!$L$18:$L$87)),LOOKUP(2,1/('Project SqFt'!$P$18:$P$87=B51)/('Project SqFt'!$Q$18:$Q$87=C51),'Project SqFt'!$T$18:$T$87))="","",IFERROR(_xlfn.IFNA(LOOKUP(2,1/('Project SqFt'!$A$18:$A$87=B51)/('Project SqFt'!$B$18:$B$87=C51),'Project SqFt'!$D$18:$D$87),LOOKUP(2,1/('Project SqFt'!$H$18:$H$87=B51)/('Project SqFt'!$I$18:$I$87=C51),'Project SqFt'!$L$18:$L$87)),LOOKUP(2,1/('Project SqFt'!$P$18:$P$87=B51)/('Project SqFt'!$Q$18:$Q$87=C51),'Project SqFt'!$T$18:$T$87))),"")</f>
        <v/>
      </c>
      <c r="E51" s="758"/>
      <c r="F51" s="1191"/>
      <c r="G51" s="753"/>
      <c r="H51" s="753"/>
      <c r="I51" s="860"/>
      <c r="J51" s="861"/>
      <c r="K51" s="886" t="str">
        <f t="shared" si="0"/>
        <v/>
      </c>
      <c r="L51" s="886"/>
      <c r="M51" s="725"/>
      <c r="N51" s="29"/>
      <c r="O51" s="489"/>
      <c r="P51" s="29"/>
      <c r="Q51" s="29"/>
      <c r="R51" s="29"/>
      <c r="S51" s="29"/>
      <c r="T51" s="489"/>
      <c r="U51" s="147"/>
      <c r="V51" s="147" t="str">
        <f t="shared" si="1"/>
        <v/>
      </c>
      <c r="W51" s="147" t="str">
        <f t="shared" si="2"/>
        <v/>
      </c>
      <c r="X51" s="147" t="str">
        <f t="shared" si="3"/>
        <v/>
      </c>
      <c r="Y51" s="147" t="str">
        <f t="shared" si="4"/>
        <v/>
      </c>
      <c r="Z51" s="147" t="str">
        <f t="shared" si="5"/>
        <v/>
      </c>
    </row>
    <row r="52" spans="1:26" x14ac:dyDescent="0.25">
      <c r="A52" s="147">
        <v>27</v>
      </c>
      <c r="B52" s="29"/>
      <c r="C52" s="29"/>
      <c r="D52" s="194" t="str" cm="1">
        <f t="array" ref="D52">IFERROR(IF(IFERROR(_xlfn.IFNA(LOOKUP(2,1/('Project SqFt'!$A$18:$A$87=B52)/('Project SqFt'!$B$18:$B$87=C52),'Project SqFt'!$D$18:$D$87),LOOKUP(2,1/('Project SqFt'!$H$18:$H$87=B52)/('Project SqFt'!$I$18:$I$87=C52),'Project SqFt'!$L$18:$L$87)),LOOKUP(2,1/('Project SqFt'!$P$18:$P$87=B52)/('Project SqFt'!$Q$18:$Q$87=C52),'Project SqFt'!$T$18:$T$87))="","",IFERROR(_xlfn.IFNA(LOOKUP(2,1/('Project SqFt'!$A$18:$A$87=B52)/('Project SqFt'!$B$18:$B$87=C52),'Project SqFt'!$D$18:$D$87),LOOKUP(2,1/('Project SqFt'!$H$18:$H$87=B52)/('Project SqFt'!$I$18:$I$87=C52),'Project SqFt'!$L$18:$L$87)),LOOKUP(2,1/('Project SqFt'!$P$18:$P$87=B52)/('Project SqFt'!$Q$18:$Q$87=C52),'Project SqFt'!$T$18:$T$87))),"")</f>
        <v/>
      </c>
      <c r="E52" s="758"/>
      <c r="F52" s="1191"/>
      <c r="G52" s="753"/>
      <c r="H52" s="753"/>
      <c r="I52" s="860"/>
      <c r="J52" s="861"/>
      <c r="K52" s="886" t="str">
        <f t="shared" si="0"/>
        <v/>
      </c>
      <c r="L52" s="886"/>
      <c r="M52" s="725"/>
      <c r="N52" s="29"/>
      <c r="O52" s="489"/>
      <c r="P52" s="29"/>
      <c r="Q52" s="29"/>
      <c r="R52" s="29"/>
      <c r="S52" s="29"/>
      <c r="T52" s="489"/>
      <c r="U52" s="147"/>
      <c r="V52" s="147" t="str">
        <f t="shared" si="1"/>
        <v/>
      </c>
      <c r="W52" s="147" t="str">
        <f t="shared" si="2"/>
        <v/>
      </c>
      <c r="X52" s="147" t="str">
        <f t="shared" si="3"/>
        <v/>
      </c>
      <c r="Y52" s="147" t="str">
        <f t="shared" si="4"/>
        <v/>
      </c>
      <c r="Z52" s="147" t="str">
        <f t="shared" si="5"/>
        <v/>
      </c>
    </row>
    <row r="53" spans="1:26" x14ac:dyDescent="0.25">
      <c r="A53" s="147">
        <v>28</v>
      </c>
      <c r="B53" s="29"/>
      <c r="C53" s="29"/>
      <c r="D53" s="194" t="str" cm="1">
        <f t="array" ref="D53">IFERROR(IF(IFERROR(_xlfn.IFNA(LOOKUP(2,1/('Project SqFt'!$A$18:$A$87=B53)/('Project SqFt'!$B$18:$B$87=C53),'Project SqFt'!$D$18:$D$87),LOOKUP(2,1/('Project SqFt'!$H$18:$H$87=B53)/('Project SqFt'!$I$18:$I$87=C53),'Project SqFt'!$L$18:$L$87)),LOOKUP(2,1/('Project SqFt'!$P$18:$P$87=B53)/('Project SqFt'!$Q$18:$Q$87=C53),'Project SqFt'!$T$18:$T$87))="","",IFERROR(_xlfn.IFNA(LOOKUP(2,1/('Project SqFt'!$A$18:$A$87=B53)/('Project SqFt'!$B$18:$B$87=C53),'Project SqFt'!$D$18:$D$87),LOOKUP(2,1/('Project SqFt'!$H$18:$H$87=B53)/('Project SqFt'!$I$18:$I$87=C53),'Project SqFt'!$L$18:$L$87)),LOOKUP(2,1/('Project SqFt'!$P$18:$P$87=B53)/('Project SqFt'!$Q$18:$Q$87=C53),'Project SqFt'!$T$18:$T$87))),"")</f>
        <v/>
      </c>
      <c r="E53" s="758"/>
      <c r="F53" s="1191"/>
      <c r="G53" s="753"/>
      <c r="H53" s="753"/>
      <c r="I53" s="860"/>
      <c r="J53" s="861"/>
      <c r="K53" s="886" t="str">
        <f t="shared" si="0"/>
        <v/>
      </c>
      <c r="L53" s="886"/>
      <c r="M53" s="725"/>
      <c r="N53" s="29"/>
      <c r="O53" s="489"/>
      <c r="P53" s="29"/>
      <c r="Q53" s="29"/>
      <c r="R53" s="29"/>
      <c r="S53" s="29"/>
      <c r="T53" s="489"/>
      <c r="U53" s="147"/>
      <c r="V53" s="147" t="str">
        <f t="shared" si="1"/>
        <v/>
      </c>
      <c r="W53" s="147" t="str">
        <f t="shared" si="2"/>
        <v/>
      </c>
      <c r="X53" s="147" t="str">
        <f t="shared" si="3"/>
        <v/>
      </c>
      <c r="Y53" s="147" t="str">
        <f t="shared" si="4"/>
        <v/>
      </c>
      <c r="Z53" s="147" t="str">
        <f t="shared" si="5"/>
        <v/>
      </c>
    </row>
    <row r="54" spans="1:26" x14ac:dyDescent="0.25">
      <c r="A54" s="147">
        <v>29</v>
      </c>
      <c r="B54" s="29"/>
      <c r="C54" s="29"/>
      <c r="D54" s="194" t="str" cm="1">
        <f t="array" ref="D54">IFERROR(IF(IFERROR(_xlfn.IFNA(LOOKUP(2,1/('Project SqFt'!$A$18:$A$87=B54)/('Project SqFt'!$B$18:$B$87=C54),'Project SqFt'!$D$18:$D$87),LOOKUP(2,1/('Project SqFt'!$H$18:$H$87=B54)/('Project SqFt'!$I$18:$I$87=C54),'Project SqFt'!$L$18:$L$87)),LOOKUP(2,1/('Project SqFt'!$P$18:$P$87=B54)/('Project SqFt'!$Q$18:$Q$87=C54),'Project SqFt'!$T$18:$T$87))="","",IFERROR(_xlfn.IFNA(LOOKUP(2,1/('Project SqFt'!$A$18:$A$87=B54)/('Project SqFt'!$B$18:$B$87=C54),'Project SqFt'!$D$18:$D$87),LOOKUP(2,1/('Project SqFt'!$H$18:$H$87=B54)/('Project SqFt'!$I$18:$I$87=C54),'Project SqFt'!$L$18:$L$87)),LOOKUP(2,1/('Project SqFt'!$P$18:$P$87=B54)/('Project SqFt'!$Q$18:$Q$87=C54),'Project SqFt'!$T$18:$T$87))),"")</f>
        <v/>
      </c>
      <c r="E54" s="758"/>
      <c r="F54" s="1191"/>
      <c r="G54" s="753"/>
      <c r="H54" s="753"/>
      <c r="I54" s="860"/>
      <c r="J54" s="861"/>
      <c r="K54" s="886" t="str">
        <f t="shared" si="0"/>
        <v/>
      </c>
      <c r="L54" s="886"/>
      <c r="M54" s="725"/>
      <c r="N54" s="29"/>
      <c r="O54" s="489"/>
      <c r="P54" s="29"/>
      <c r="Q54" s="29"/>
      <c r="R54" s="29"/>
      <c r="S54" s="29"/>
      <c r="T54" s="489"/>
      <c r="U54" s="147"/>
      <c r="V54" s="147" t="str">
        <f t="shared" si="1"/>
        <v/>
      </c>
      <c r="W54" s="147" t="str">
        <f t="shared" si="2"/>
        <v/>
      </c>
      <c r="X54" s="147" t="str">
        <f t="shared" si="3"/>
        <v/>
      </c>
      <c r="Y54" s="147" t="str">
        <f t="shared" si="4"/>
        <v/>
      </c>
      <c r="Z54" s="147" t="str">
        <f t="shared" si="5"/>
        <v/>
      </c>
    </row>
    <row r="55" spans="1:26" x14ac:dyDescent="0.25">
      <c r="A55" s="147">
        <v>30</v>
      </c>
      <c r="B55" s="29"/>
      <c r="C55" s="29"/>
      <c r="D55" s="194" t="str" cm="1">
        <f t="array" ref="D55">IFERROR(IF(IFERROR(_xlfn.IFNA(LOOKUP(2,1/('Project SqFt'!$A$18:$A$87=B55)/('Project SqFt'!$B$18:$B$87=C55),'Project SqFt'!$D$18:$D$87),LOOKUP(2,1/('Project SqFt'!$H$18:$H$87=B55)/('Project SqFt'!$I$18:$I$87=C55),'Project SqFt'!$L$18:$L$87)),LOOKUP(2,1/('Project SqFt'!$P$18:$P$87=B55)/('Project SqFt'!$Q$18:$Q$87=C55),'Project SqFt'!$T$18:$T$87))="","",IFERROR(_xlfn.IFNA(LOOKUP(2,1/('Project SqFt'!$A$18:$A$87=B55)/('Project SqFt'!$B$18:$B$87=C55),'Project SqFt'!$D$18:$D$87),LOOKUP(2,1/('Project SqFt'!$H$18:$H$87=B55)/('Project SqFt'!$I$18:$I$87=C55),'Project SqFt'!$L$18:$L$87)),LOOKUP(2,1/('Project SqFt'!$P$18:$P$87=B55)/('Project SqFt'!$Q$18:$Q$87=C55),'Project SqFt'!$T$18:$T$87))),"")</f>
        <v/>
      </c>
      <c r="E55" s="758"/>
      <c r="F55" s="1191"/>
      <c r="G55" s="753"/>
      <c r="H55" s="753"/>
      <c r="I55" s="860"/>
      <c r="J55" s="861"/>
      <c r="K55" s="886" t="str">
        <f t="shared" si="0"/>
        <v/>
      </c>
      <c r="L55" s="886"/>
      <c r="M55" s="725"/>
      <c r="N55" s="29"/>
      <c r="O55" s="489"/>
      <c r="P55" s="29"/>
      <c r="Q55" s="29"/>
      <c r="R55" s="29"/>
      <c r="S55" s="29"/>
      <c r="T55" s="489"/>
      <c r="U55" s="147"/>
      <c r="V55" s="147" t="str">
        <f t="shared" si="1"/>
        <v/>
      </c>
      <c r="W55" s="147" t="str">
        <f t="shared" si="2"/>
        <v/>
      </c>
      <c r="X55" s="147" t="str">
        <f t="shared" si="3"/>
        <v/>
      </c>
      <c r="Y55" s="147" t="str">
        <f t="shared" si="4"/>
        <v/>
      </c>
      <c r="Z55" s="147" t="str">
        <f t="shared" si="5"/>
        <v/>
      </c>
    </row>
    <row r="56" spans="1:26" x14ac:dyDescent="0.25">
      <c r="A56" s="147">
        <v>31</v>
      </c>
      <c r="B56" s="29"/>
      <c r="C56" s="29"/>
      <c r="D56" s="194" t="str" cm="1">
        <f t="array" ref="D56">IFERROR(IF(IFERROR(_xlfn.IFNA(LOOKUP(2,1/('Project SqFt'!$A$18:$A$87=B56)/('Project SqFt'!$B$18:$B$87=C56),'Project SqFt'!$D$18:$D$87),LOOKUP(2,1/('Project SqFt'!$H$18:$H$87=B56)/('Project SqFt'!$I$18:$I$87=C56),'Project SqFt'!$L$18:$L$87)),LOOKUP(2,1/('Project SqFt'!$P$18:$P$87=B56)/('Project SqFt'!$Q$18:$Q$87=C56),'Project SqFt'!$T$18:$T$87))="","",IFERROR(_xlfn.IFNA(LOOKUP(2,1/('Project SqFt'!$A$18:$A$87=B56)/('Project SqFt'!$B$18:$B$87=C56),'Project SqFt'!$D$18:$D$87),LOOKUP(2,1/('Project SqFt'!$H$18:$H$87=B56)/('Project SqFt'!$I$18:$I$87=C56),'Project SqFt'!$L$18:$L$87)),LOOKUP(2,1/('Project SqFt'!$P$18:$P$87=B56)/('Project SqFt'!$Q$18:$Q$87=C56),'Project SqFt'!$T$18:$T$87))),"")</f>
        <v/>
      </c>
      <c r="E56" s="758"/>
      <c r="F56" s="1191"/>
      <c r="G56" s="753"/>
      <c r="H56" s="753"/>
      <c r="I56" s="860"/>
      <c r="J56" s="861"/>
      <c r="K56" s="886" t="str">
        <f t="shared" si="0"/>
        <v/>
      </c>
      <c r="L56" s="886"/>
      <c r="M56" s="725"/>
      <c r="N56" s="29"/>
      <c r="O56" s="489"/>
      <c r="P56" s="29"/>
      <c r="Q56" s="29"/>
      <c r="R56" s="29"/>
      <c r="S56" s="29"/>
      <c r="T56" s="489"/>
      <c r="U56" s="147"/>
      <c r="V56" s="147" t="str">
        <f t="shared" si="1"/>
        <v/>
      </c>
      <c r="W56" s="147" t="str">
        <f t="shared" si="2"/>
        <v/>
      </c>
      <c r="X56" s="147" t="str">
        <f t="shared" si="3"/>
        <v/>
      </c>
      <c r="Y56" s="147" t="str">
        <f t="shared" si="4"/>
        <v/>
      </c>
      <c r="Z56" s="147" t="str">
        <f t="shared" si="5"/>
        <v/>
      </c>
    </row>
    <row r="57" spans="1:26" x14ac:dyDescent="0.25">
      <c r="A57" s="147">
        <v>32</v>
      </c>
      <c r="B57" s="29"/>
      <c r="C57" s="29"/>
      <c r="D57" s="194" t="str" cm="1">
        <f t="array" ref="D57">IFERROR(IF(IFERROR(_xlfn.IFNA(LOOKUP(2,1/('Project SqFt'!$A$18:$A$87=B57)/('Project SqFt'!$B$18:$B$87=C57),'Project SqFt'!$D$18:$D$87),LOOKUP(2,1/('Project SqFt'!$H$18:$H$87=B57)/('Project SqFt'!$I$18:$I$87=C57),'Project SqFt'!$L$18:$L$87)),LOOKUP(2,1/('Project SqFt'!$P$18:$P$87=B57)/('Project SqFt'!$Q$18:$Q$87=C57),'Project SqFt'!$T$18:$T$87))="","",IFERROR(_xlfn.IFNA(LOOKUP(2,1/('Project SqFt'!$A$18:$A$87=B57)/('Project SqFt'!$B$18:$B$87=C57),'Project SqFt'!$D$18:$D$87),LOOKUP(2,1/('Project SqFt'!$H$18:$H$87=B57)/('Project SqFt'!$I$18:$I$87=C57),'Project SqFt'!$L$18:$L$87)),LOOKUP(2,1/('Project SqFt'!$P$18:$P$87=B57)/('Project SqFt'!$Q$18:$Q$87=C57),'Project SqFt'!$T$18:$T$87))),"")</f>
        <v/>
      </c>
      <c r="E57" s="758"/>
      <c r="F57" s="1191"/>
      <c r="G57" s="753"/>
      <c r="H57" s="753"/>
      <c r="I57" s="860"/>
      <c r="J57" s="861"/>
      <c r="K57" s="886" t="str">
        <f t="shared" si="0"/>
        <v/>
      </c>
      <c r="L57" s="886"/>
      <c r="M57" s="725"/>
      <c r="N57" s="29"/>
      <c r="O57" s="489"/>
      <c r="P57" s="29"/>
      <c r="Q57" s="29"/>
      <c r="R57" s="29"/>
      <c r="S57" s="29"/>
      <c r="T57" s="489"/>
      <c r="U57" s="147"/>
      <c r="V57" s="147" t="str">
        <f t="shared" si="1"/>
        <v/>
      </c>
      <c r="W57" s="147" t="str">
        <f t="shared" si="2"/>
        <v/>
      </c>
      <c r="X57" s="147" t="str">
        <f t="shared" si="3"/>
        <v/>
      </c>
      <c r="Y57" s="147" t="str">
        <f t="shared" si="4"/>
        <v/>
      </c>
      <c r="Z57" s="147" t="str">
        <f t="shared" si="5"/>
        <v/>
      </c>
    </row>
    <row r="58" spans="1:26" x14ac:dyDescent="0.25">
      <c r="A58" s="147">
        <v>33</v>
      </c>
      <c r="B58" s="29"/>
      <c r="C58" s="29"/>
      <c r="D58" s="194" t="str" cm="1">
        <f t="array" ref="D58">IFERROR(IF(IFERROR(_xlfn.IFNA(LOOKUP(2,1/('Project SqFt'!$A$18:$A$87=B58)/('Project SqFt'!$B$18:$B$87=C58),'Project SqFt'!$D$18:$D$87),LOOKUP(2,1/('Project SqFt'!$H$18:$H$87=B58)/('Project SqFt'!$I$18:$I$87=C58),'Project SqFt'!$L$18:$L$87)),LOOKUP(2,1/('Project SqFt'!$P$18:$P$87=B58)/('Project SqFt'!$Q$18:$Q$87=C58),'Project SqFt'!$T$18:$T$87))="","",IFERROR(_xlfn.IFNA(LOOKUP(2,1/('Project SqFt'!$A$18:$A$87=B58)/('Project SqFt'!$B$18:$B$87=C58),'Project SqFt'!$D$18:$D$87),LOOKUP(2,1/('Project SqFt'!$H$18:$H$87=B58)/('Project SqFt'!$I$18:$I$87=C58),'Project SqFt'!$L$18:$L$87)),LOOKUP(2,1/('Project SqFt'!$P$18:$P$87=B58)/('Project SqFt'!$Q$18:$Q$87=C58),'Project SqFt'!$T$18:$T$87))),"")</f>
        <v/>
      </c>
      <c r="E58" s="758"/>
      <c r="F58" s="1191"/>
      <c r="G58" s="753"/>
      <c r="H58" s="753"/>
      <c r="I58" s="860"/>
      <c r="J58" s="861"/>
      <c r="K58" s="886" t="str">
        <f t="shared" si="0"/>
        <v/>
      </c>
      <c r="L58" s="886"/>
      <c r="M58" s="725"/>
      <c r="N58" s="29"/>
      <c r="O58" s="489"/>
      <c r="P58" s="29"/>
      <c r="Q58" s="29"/>
      <c r="R58" s="29"/>
      <c r="S58" s="29"/>
      <c r="T58" s="489"/>
      <c r="U58" s="147"/>
      <c r="V58" s="147" t="str">
        <f t="shared" si="1"/>
        <v/>
      </c>
      <c r="W58" s="147" t="str">
        <f t="shared" si="2"/>
        <v/>
      </c>
      <c r="X58" s="147" t="str">
        <f t="shared" si="3"/>
        <v/>
      </c>
      <c r="Y58" s="147" t="str">
        <f t="shared" si="4"/>
        <v/>
      </c>
      <c r="Z58" s="147" t="str">
        <f t="shared" si="5"/>
        <v/>
      </c>
    </row>
    <row r="59" spans="1:26" x14ac:dyDescent="0.25">
      <c r="A59" s="147">
        <v>34</v>
      </c>
      <c r="B59" s="29"/>
      <c r="C59" s="29"/>
      <c r="D59" s="194" t="str" cm="1">
        <f t="array" ref="D59">IFERROR(IF(IFERROR(_xlfn.IFNA(LOOKUP(2,1/('Project SqFt'!$A$18:$A$87=B59)/('Project SqFt'!$B$18:$B$87=C59),'Project SqFt'!$D$18:$D$87),LOOKUP(2,1/('Project SqFt'!$H$18:$H$87=B59)/('Project SqFt'!$I$18:$I$87=C59),'Project SqFt'!$L$18:$L$87)),LOOKUP(2,1/('Project SqFt'!$P$18:$P$87=B59)/('Project SqFt'!$Q$18:$Q$87=C59),'Project SqFt'!$T$18:$T$87))="","",IFERROR(_xlfn.IFNA(LOOKUP(2,1/('Project SqFt'!$A$18:$A$87=B59)/('Project SqFt'!$B$18:$B$87=C59),'Project SqFt'!$D$18:$D$87),LOOKUP(2,1/('Project SqFt'!$H$18:$H$87=B59)/('Project SqFt'!$I$18:$I$87=C59),'Project SqFt'!$L$18:$L$87)),LOOKUP(2,1/('Project SqFt'!$P$18:$P$87=B59)/('Project SqFt'!$Q$18:$Q$87=C59),'Project SqFt'!$T$18:$T$87))),"")</f>
        <v/>
      </c>
      <c r="E59" s="758"/>
      <c r="F59" s="1191"/>
      <c r="G59" s="753"/>
      <c r="H59" s="753"/>
      <c r="I59" s="860"/>
      <c r="J59" s="861"/>
      <c r="K59" s="886" t="str">
        <f t="shared" si="0"/>
        <v/>
      </c>
      <c r="L59" s="886"/>
      <c r="M59" s="725"/>
      <c r="N59" s="29"/>
      <c r="O59" s="489"/>
      <c r="P59" s="29"/>
      <c r="Q59" s="29"/>
      <c r="R59" s="29"/>
      <c r="S59" s="29"/>
      <c r="T59" s="489"/>
      <c r="U59" s="147"/>
      <c r="V59" s="147" t="str">
        <f t="shared" si="1"/>
        <v/>
      </c>
      <c r="W59" s="147" t="str">
        <f t="shared" si="2"/>
        <v/>
      </c>
      <c r="X59" s="147" t="str">
        <f t="shared" si="3"/>
        <v/>
      </c>
      <c r="Y59" s="147" t="str">
        <f t="shared" si="4"/>
        <v/>
      </c>
      <c r="Z59" s="147" t="str">
        <f t="shared" si="5"/>
        <v/>
      </c>
    </row>
    <row r="60" spans="1:26" x14ac:dyDescent="0.25">
      <c r="A60" s="147">
        <v>35</v>
      </c>
      <c r="B60" s="29"/>
      <c r="C60" s="29"/>
      <c r="D60" s="194" t="str" cm="1">
        <f t="array" ref="D60">IFERROR(IF(IFERROR(_xlfn.IFNA(LOOKUP(2,1/('Project SqFt'!$A$18:$A$87=B60)/('Project SqFt'!$B$18:$B$87=C60),'Project SqFt'!$D$18:$D$87),LOOKUP(2,1/('Project SqFt'!$H$18:$H$87=B60)/('Project SqFt'!$I$18:$I$87=C60),'Project SqFt'!$L$18:$L$87)),LOOKUP(2,1/('Project SqFt'!$P$18:$P$87=B60)/('Project SqFt'!$Q$18:$Q$87=C60),'Project SqFt'!$T$18:$T$87))="","",IFERROR(_xlfn.IFNA(LOOKUP(2,1/('Project SqFt'!$A$18:$A$87=B60)/('Project SqFt'!$B$18:$B$87=C60),'Project SqFt'!$D$18:$D$87),LOOKUP(2,1/('Project SqFt'!$H$18:$H$87=B60)/('Project SqFt'!$I$18:$I$87=C60),'Project SqFt'!$L$18:$L$87)),LOOKUP(2,1/('Project SqFt'!$P$18:$P$87=B60)/('Project SqFt'!$Q$18:$Q$87=C60),'Project SqFt'!$T$18:$T$87))),"")</f>
        <v/>
      </c>
      <c r="E60" s="758"/>
      <c r="F60" s="1191"/>
      <c r="G60" s="753"/>
      <c r="H60" s="753"/>
      <c r="I60" s="860"/>
      <c r="J60" s="861"/>
      <c r="K60" s="886" t="str">
        <f t="shared" si="0"/>
        <v/>
      </c>
      <c r="L60" s="886"/>
      <c r="M60" s="725"/>
      <c r="N60" s="29"/>
      <c r="O60" s="489"/>
      <c r="P60" s="29"/>
      <c r="Q60" s="29"/>
      <c r="R60" s="29"/>
      <c r="S60" s="29"/>
      <c r="T60" s="489"/>
      <c r="U60" s="147"/>
      <c r="V60" s="147" t="str">
        <f t="shared" si="1"/>
        <v/>
      </c>
      <c r="W60" s="147" t="str">
        <f t="shared" si="2"/>
        <v/>
      </c>
      <c r="X60" s="147" t="str">
        <f t="shared" si="3"/>
        <v/>
      </c>
      <c r="Y60" s="147" t="str">
        <f t="shared" si="4"/>
        <v/>
      </c>
      <c r="Z60" s="147" t="str">
        <f t="shared" si="5"/>
        <v/>
      </c>
    </row>
    <row r="61" spans="1:26" x14ac:dyDescent="0.25">
      <c r="A61" s="147">
        <v>36</v>
      </c>
      <c r="B61" s="29"/>
      <c r="C61" s="29"/>
      <c r="D61" s="194" t="str" cm="1">
        <f t="array" ref="D61">IFERROR(IF(IFERROR(_xlfn.IFNA(LOOKUP(2,1/('Project SqFt'!$A$18:$A$87=B61)/('Project SqFt'!$B$18:$B$87=C61),'Project SqFt'!$D$18:$D$87),LOOKUP(2,1/('Project SqFt'!$H$18:$H$87=B61)/('Project SqFt'!$I$18:$I$87=C61),'Project SqFt'!$L$18:$L$87)),LOOKUP(2,1/('Project SqFt'!$P$18:$P$87=B61)/('Project SqFt'!$Q$18:$Q$87=C61),'Project SqFt'!$T$18:$T$87))="","",IFERROR(_xlfn.IFNA(LOOKUP(2,1/('Project SqFt'!$A$18:$A$87=B61)/('Project SqFt'!$B$18:$B$87=C61),'Project SqFt'!$D$18:$D$87),LOOKUP(2,1/('Project SqFt'!$H$18:$H$87=B61)/('Project SqFt'!$I$18:$I$87=C61),'Project SqFt'!$L$18:$L$87)),LOOKUP(2,1/('Project SqFt'!$P$18:$P$87=B61)/('Project SqFt'!$Q$18:$Q$87=C61),'Project SqFt'!$T$18:$T$87))),"")</f>
        <v/>
      </c>
      <c r="E61" s="758"/>
      <c r="F61" s="1191"/>
      <c r="G61" s="753"/>
      <c r="H61" s="753"/>
      <c r="I61" s="860"/>
      <c r="J61" s="861"/>
      <c r="K61" s="886" t="str">
        <f t="shared" si="0"/>
        <v/>
      </c>
      <c r="L61" s="886"/>
      <c r="M61" s="725"/>
      <c r="N61" s="29"/>
      <c r="O61" s="489"/>
      <c r="P61" s="29"/>
      <c r="Q61" s="29"/>
      <c r="R61" s="29"/>
      <c r="S61" s="29"/>
      <c r="T61" s="489"/>
      <c r="U61" s="147"/>
      <c r="V61" s="147" t="str">
        <f t="shared" si="1"/>
        <v/>
      </c>
      <c r="W61" s="147" t="str">
        <f t="shared" si="2"/>
        <v/>
      </c>
      <c r="X61" s="147" t="str">
        <f t="shared" si="3"/>
        <v/>
      </c>
      <c r="Y61" s="147" t="str">
        <f t="shared" si="4"/>
        <v/>
      </c>
      <c r="Z61" s="147" t="str">
        <f t="shared" si="5"/>
        <v/>
      </c>
    </row>
    <row r="62" spans="1:26" x14ac:dyDescent="0.25">
      <c r="A62" s="147">
        <v>37</v>
      </c>
      <c r="B62" s="29"/>
      <c r="C62" s="29"/>
      <c r="D62" s="194" t="str" cm="1">
        <f t="array" ref="D62">IFERROR(IF(IFERROR(_xlfn.IFNA(LOOKUP(2,1/('Project SqFt'!$A$18:$A$87=B62)/('Project SqFt'!$B$18:$B$87=C62),'Project SqFt'!$D$18:$D$87),LOOKUP(2,1/('Project SqFt'!$H$18:$H$87=B62)/('Project SqFt'!$I$18:$I$87=C62),'Project SqFt'!$L$18:$L$87)),LOOKUP(2,1/('Project SqFt'!$P$18:$P$87=B62)/('Project SqFt'!$Q$18:$Q$87=C62),'Project SqFt'!$T$18:$T$87))="","",IFERROR(_xlfn.IFNA(LOOKUP(2,1/('Project SqFt'!$A$18:$A$87=B62)/('Project SqFt'!$B$18:$B$87=C62),'Project SqFt'!$D$18:$D$87),LOOKUP(2,1/('Project SqFt'!$H$18:$H$87=B62)/('Project SqFt'!$I$18:$I$87=C62),'Project SqFt'!$L$18:$L$87)),LOOKUP(2,1/('Project SqFt'!$P$18:$P$87=B62)/('Project SqFt'!$Q$18:$Q$87=C62),'Project SqFt'!$T$18:$T$87))),"")</f>
        <v/>
      </c>
      <c r="E62" s="758"/>
      <c r="F62" s="1191"/>
      <c r="G62" s="753"/>
      <c r="H62" s="753"/>
      <c r="I62" s="860"/>
      <c r="J62" s="861"/>
      <c r="K62" s="886" t="str">
        <f t="shared" si="0"/>
        <v/>
      </c>
      <c r="L62" s="886"/>
      <c r="M62" s="725"/>
      <c r="N62" s="29"/>
      <c r="O62" s="489"/>
      <c r="P62" s="29"/>
      <c r="Q62" s="29"/>
      <c r="R62" s="29"/>
      <c r="S62" s="29"/>
      <c r="T62" s="489"/>
      <c r="U62" s="147"/>
      <c r="V62" s="147" t="str">
        <f t="shared" si="1"/>
        <v/>
      </c>
      <c r="W62" s="147" t="str">
        <f t="shared" si="2"/>
        <v/>
      </c>
      <c r="X62" s="147" t="str">
        <f t="shared" si="3"/>
        <v/>
      </c>
      <c r="Y62" s="147" t="str">
        <f t="shared" si="4"/>
        <v/>
      </c>
      <c r="Z62" s="147" t="str">
        <f t="shared" si="5"/>
        <v/>
      </c>
    </row>
    <row r="63" spans="1:26" x14ac:dyDescent="0.25">
      <c r="A63" s="147">
        <v>38</v>
      </c>
      <c r="B63" s="29"/>
      <c r="C63" s="29"/>
      <c r="D63" s="194" t="str" cm="1">
        <f t="array" ref="D63">IFERROR(IF(IFERROR(_xlfn.IFNA(LOOKUP(2,1/('Project SqFt'!$A$18:$A$87=B63)/('Project SqFt'!$B$18:$B$87=C63),'Project SqFt'!$D$18:$D$87),LOOKUP(2,1/('Project SqFt'!$H$18:$H$87=B63)/('Project SqFt'!$I$18:$I$87=C63),'Project SqFt'!$L$18:$L$87)),LOOKUP(2,1/('Project SqFt'!$P$18:$P$87=B63)/('Project SqFt'!$Q$18:$Q$87=C63),'Project SqFt'!$T$18:$T$87))="","",IFERROR(_xlfn.IFNA(LOOKUP(2,1/('Project SqFt'!$A$18:$A$87=B63)/('Project SqFt'!$B$18:$B$87=C63),'Project SqFt'!$D$18:$D$87),LOOKUP(2,1/('Project SqFt'!$H$18:$H$87=B63)/('Project SqFt'!$I$18:$I$87=C63),'Project SqFt'!$L$18:$L$87)),LOOKUP(2,1/('Project SqFt'!$P$18:$P$87=B63)/('Project SqFt'!$Q$18:$Q$87=C63),'Project SqFt'!$T$18:$T$87))),"")</f>
        <v/>
      </c>
      <c r="E63" s="758"/>
      <c r="F63" s="1191"/>
      <c r="G63" s="753"/>
      <c r="H63" s="753"/>
      <c r="I63" s="860"/>
      <c r="J63" s="861"/>
      <c r="K63" s="886" t="str">
        <f t="shared" si="0"/>
        <v/>
      </c>
      <c r="L63" s="886"/>
      <c r="M63" s="725"/>
      <c r="N63" s="29"/>
      <c r="O63" s="489"/>
      <c r="P63" s="29"/>
      <c r="Q63" s="29"/>
      <c r="R63" s="29"/>
      <c r="S63" s="29"/>
      <c r="T63" s="489"/>
      <c r="U63" s="147"/>
      <c r="V63" s="147" t="str">
        <f t="shared" si="1"/>
        <v/>
      </c>
      <c r="W63" s="147" t="str">
        <f t="shared" si="2"/>
        <v/>
      </c>
      <c r="X63" s="147" t="str">
        <f t="shared" si="3"/>
        <v/>
      </c>
      <c r="Y63" s="147" t="str">
        <f t="shared" si="4"/>
        <v/>
      </c>
      <c r="Z63" s="147" t="str">
        <f t="shared" si="5"/>
        <v/>
      </c>
    </row>
    <row r="64" spans="1:26" x14ac:dyDescent="0.25">
      <c r="A64" s="147">
        <v>39</v>
      </c>
      <c r="B64" s="29"/>
      <c r="C64" s="29"/>
      <c r="D64" s="194" t="str" cm="1">
        <f t="array" ref="D64">IFERROR(IF(IFERROR(_xlfn.IFNA(LOOKUP(2,1/('Project SqFt'!$A$18:$A$87=B64)/('Project SqFt'!$B$18:$B$87=C64),'Project SqFt'!$D$18:$D$87),LOOKUP(2,1/('Project SqFt'!$H$18:$H$87=B64)/('Project SqFt'!$I$18:$I$87=C64),'Project SqFt'!$L$18:$L$87)),LOOKUP(2,1/('Project SqFt'!$P$18:$P$87=B64)/('Project SqFt'!$Q$18:$Q$87=C64),'Project SqFt'!$T$18:$T$87))="","",IFERROR(_xlfn.IFNA(LOOKUP(2,1/('Project SqFt'!$A$18:$A$87=B64)/('Project SqFt'!$B$18:$B$87=C64),'Project SqFt'!$D$18:$D$87),LOOKUP(2,1/('Project SqFt'!$H$18:$H$87=B64)/('Project SqFt'!$I$18:$I$87=C64),'Project SqFt'!$L$18:$L$87)),LOOKUP(2,1/('Project SqFt'!$P$18:$P$87=B64)/('Project SqFt'!$Q$18:$Q$87=C64),'Project SqFt'!$T$18:$T$87))),"")</f>
        <v/>
      </c>
      <c r="E64" s="758"/>
      <c r="F64" s="1191"/>
      <c r="G64" s="753"/>
      <c r="H64" s="753"/>
      <c r="I64" s="860"/>
      <c r="J64" s="861"/>
      <c r="K64" s="886" t="str">
        <f t="shared" si="0"/>
        <v/>
      </c>
      <c r="L64" s="886"/>
      <c r="M64" s="725"/>
      <c r="N64" s="29"/>
      <c r="O64" s="489"/>
      <c r="P64" s="29"/>
      <c r="Q64" s="29"/>
      <c r="R64" s="29"/>
      <c r="S64" s="29"/>
      <c r="T64" s="489"/>
      <c r="U64" s="147"/>
      <c r="V64" s="147" t="str">
        <f t="shared" si="1"/>
        <v/>
      </c>
      <c r="W64" s="147" t="str">
        <f t="shared" si="2"/>
        <v/>
      </c>
      <c r="X64" s="147" t="str">
        <f t="shared" si="3"/>
        <v/>
      </c>
      <c r="Y64" s="147" t="str">
        <f t="shared" si="4"/>
        <v/>
      </c>
      <c r="Z64" s="147" t="str">
        <f t="shared" si="5"/>
        <v/>
      </c>
    </row>
    <row r="65" spans="1:37" x14ac:dyDescent="0.25">
      <c r="A65" s="147">
        <v>40</v>
      </c>
      <c r="B65" s="29"/>
      <c r="C65" s="29"/>
      <c r="D65" s="194" t="str" cm="1">
        <f t="array" ref="D65">IFERROR(IF(IFERROR(_xlfn.IFNA(LOOKUP(2,1/('Project SqFt'!$A$18:$A$87=B65)/('Project SqFt'!$B$18:$B$87=C65),'Project SqFt'!$D$18:$D$87),LOOKUP(2,1/('Project SqFt'!$H$18:$H$87=B65)/('Project SqFt'!$I$18:$I$87=C65),'Project SqFt'!$L$18:$L$87)),LOOKUP(2,1/('Project SqFt'!$P$18:$P$87=B65)/('Project SqFt'!$Q$18:$Q$87=C65),'Project SqFt'!$T$18:$T$87))="","",IFERROR(_xlfn.IFNA(LOOKUP(2,1/('Project SqFt'!$A$18:$A$87=B65)/('Project SqFt'!$B$18:$B$87=C65),'Project SqFt'!$D$18:$D$87),LOOKUP(2,1/('Project SqFt'!$H$18:$H$87=B65)/('Project SqFt'!$I$18:$I$87=C65),'Project SqFt'!$L$18:$L$87)),LOOKUP(2,1/('Project SqFt'!$P$18:$P$87=B65)/('Project SqFt'!$Q$18:$Q$87=C65),'Project SqFt'!$T$18:$T$87))),"")</f>
        <v/>
      </c>
      <c r="E65" s="758"/>
      <c r="F65" s="1191"/>
      <c r="G65" s="753"/>
      <c r="H65" s="753"/>
      <c r="I65" s="860"/>
      <c r="J65" s="861"/>
      <c r="K65" s="886" t="str">
        <f t="shared" si="0"/>
        <v/>
      </c>
      <c r="L65" s="886"/>
      <c r="M65" s="725"/>
      <c r="N65" s="29"/>
      <c r="O65" s="489"/>
      <c r="P65" s="29"/>
      <c r="Q65" s="29"/>
      <c r="R65" s="29"/>
      <c r="S65" s="29"/>
      <c r="T65" s="489"/>
      <c r="U65" s="147"/>
      <c r="V65" s="147" t="str">
        <f t="shared" si="1"/>
        <v/>
      </c>
      <c r="W65" s="147" t="str">
        <f t="shared" si="2"/>
        <v/>
      </c>
      <c r="X65" s="147" t="str">
        <f t="shared" si="3"/>
        <v/>
      </c>
      <c r="Y65" s="147" t="str">
        <f t="shared" si="4"/>
        <v/>
      </c>
      <c r="Z65" s="147" t="str">
        <f t="shared" si="5"/>
        <v/>
      </c>
    </row>
    <row r="66" spans="1:37" x14ac:dyDescent="0.25">
      <c r="A66" s="646"/>
      <c r="B66" s="646"/>
      <c r="C66" s="646"/>
      <c r="D66" s="646"/>
      <c r="E66" s="646"/>
      <c r="F66" s="646"/>
      <c r="G66" s="646"/>
      <c r="H66" s="646"/>
      <c r="I66" s="646"/>
      <c r="J66" s="646"/>
      <c r="K66" s="646"/>
      <c r="L66" s="646"/>
      <c r="M66" s="646"/>
      <c r="N66" s="646"/>
      <c r="O66" s="646"/>
      <c r="P66" s="646"/>
      <c r="Q66" s="646"/>
      <c r="R66" s="646"/>
      <c r="S66" s="646"/>
      <c r="T66" s="646"/>
    </row>
    <row r="67" spans="1:37" ht="18.75" hidden="1" x14ac:dyDescent="0.3">
      <c r="A67" s="805" t="s">
        <v>948</v>
      </c>
      <c r="B67" s="805"/>
      <c r="C67" s="805"/>
      <c r="D67" s="805"/>
      <c r="E67" s="805"/>
      <c r="F67" s="805"/>
      <c r="G67" s="805"/>
      <c r="H67" s="805"/>
      <c r="I67" s="805"/>
      <c r="J67" s="805"/>
      <c r="K67" s="805"/>
      <c r="L67" s="805"/>
      <c r="M67" s="805"/>
      <c r="N67" s="805"/>
      <c r="O67" s="805"/>
      <c r="P67" s="805"/>
      <c r="Q67" s="805"/>
      <c r="R67" s="805"/>
      <c r="S67" s="805"/>
      <c r="T67" s="805"/>
    </row>
    <row r="68" spans="1:37" ht="30" hidden="1" x14ac:dyDescent="0.25">
      <c r="A68" s="495"/>
      <c r="B68" s="507" t="s">
        <v>38</v>
      </c>
      <c r="C68" s="507" t="s">
        <v>371</v>
      </c>
      <c r="D68" s="507" t="s">
        <v>40</v>
      </c>
      <c r="E68" s="1156" t="s">
        <v>961</v>
      </c>
      <c r="F68" s="1156"/>
      <c r="G68" s="1156" t="s">
        <v>945</v>
      </c>
      <c r="H68" s="1156"/>
      <c r="I68" s="1157" t="s">
        <v>946</v>
      </c>
      <c r="J68" s="1159"/>
      <c r="K68" s="1158" t="s">
        <v>903</v>
      </c>
      <c r="L68" s="1158"/>
      <c r="M68" s="1159"/>
      <c r="N68" s="507" t="s">
        <v>904</v>
      </c>
      <c r="O68" s="507" t="s">
        <v>905</v>
      </c>
      <c r="P68" s="507" t="s">
        <v>916</v>
      </c>
      <c r="Q68" s="507" t="s">
        <v>918</v>
      </c>
      <c r="R68" s="507" t="s">
        <v>1040</v>
      </c>
      <c r="S68" s="507" t="s">
        <v>1041</v>
      </c>
      <c r="T68" s="507" t="s">
        <v>932</v>
      </c>
      <c r="V68" s="531" t="s">
        <v>933</v>
      </c>
      <c r="W68" s="531" t="s">
        <v>953</v>
      </c>
      <c r="X68" s="531" t="s">
        <v>954</v>
      </c>
      <c r="Y68" s="531" t="s">
        <v>955</v>
      </c>
      <c r="Z68" s="531" t="s">
        <v>691</v>
      </c>
      <c r="AK68" s="147"/>
    </row>
    <row r="69" spans="1:37" hidden="1" x14ac:dyDescent="0.25">
      <c r="A69" s="147">
        <v>41</v>
      </c>
      <c r="B69" s="29"/>
      <c r="C69" s="29"/>
      <c r="D69" s="194" t="str" cm="1">
        <f t="array" ref="D69">IFERROR(IF(IFERROR(_xlfn.IFNA(LOOKUP(2,1/('Project SqFt'!$A$18:$A$87=B69)/('Project SqFt'!$B$18:$B$87=C69),'Project SqFt'!$D$18:$D$87),LOOKUP(2,1/('Project SqFt'!$H$18:$H$87=B69)/('Project SqFt'!$I$18:$I$87=C69),'Project SqFt'!$L$18:$L$87)),LOOKUP(2,1/('Project SqFt'!$P$18:$P$87=B69)/('Project SqFt'!$Q$18:$Q$87=C69),'Project SqFt'!$T$18:$T$87))="","",IFERROR(_xlfn.IFNA(LOOKUP(2,1/('Project SqFt'!$A$18:$A$87=B69)/('Project SqFt'!$B$18:$B$87=C69),'Project SqFt'!$D$18:$D$87),LOOKUP(2,1/('Project SqFt'!$H$18:$H$87=B69)/('Project SqFt'!$I$18:$I$87=C69),'Project SqFt'!$L$18:$L$87)),LOOKUP(2,1/('Project SqFt'!$P$18:$P$87=B69)/('Project SqFt'!$Q$18:$Q$87=C69),'Project SqFt'!$T$18:$T$87))),"")</f>
        <v/>
      </c>
      <c r="E69" s="758"/>
      <c r="F69" s="1191"/>
      <c r="G69" s="753"/>
      <c r="H69" s="753"/>
      <c r="I69" s="860"/>
      <c r="J69" s="861"/>
      <c r="K69" s="886" t="str">
        <f t="shared" ref="K69:K108" si="6">IF($I69="","",IF($I69&lt;=$V69,$X$123,IF(AND($I69&gt;$V69,$I69&lt;=$W69),$X$124,IF(AND($I69&gt;$W69,$I69&lt;=$X69),$X$125,IF(AND($I69&gt;$X69,$I69&lt;=$Y69),$X$126,"Does Not Qualify")))))</f>
        <v/>
      </c>
      <c r="L69" s="886"/>
      <c r="M69" s="725"/>
      <c r="N69" s="29"/>
      <c r="O69" s="489"/>
      <c r="P69" s="29"/>
      <c r="Q69" s="29"/>
      <c r="R69" s="29"/>
      <c r="S69" s="29"/>
      <c r="T69" s="489"/>
      <c r="U69" s="147"/>
      <c r="V69" s="147" t="str">
        <f t="shared" ref="V69:V108" si="7">_xlfn.IFNA(HLOOKUP($P69,$W$111:$AD$115,2,FALSE),"")</f>
        <v/>
      </c>
      <c r="W69" s="147" t="str">
        <f t="shared" ref="W69:W108" si="8">_xlfn.IFNA(HLOOKUP($P69,$W$111:$AD$115,3,FALSE),"")</f>
        <v/>
      </c>
      <c r="X69" s="147" t="str">
        <f t="shared" ref="X69:X108" si="9">_xlfn.IFNA(HLOOKUP($P69,$W$111:$AD$115,4,FALSE),"")</f>
        <v/>
      </c>
      <c r="Y69" s="147" t="str">
        <f t="shared" ref="Y69:Y108" si="10">_xlfn.IFNA(HLOOKUP($P69,$W$111:$AD$115,5,FALSE),"")</f>
        <v/>
      </c>
      <c r="Z69" s="147" t="str">
        <f t="shared" ref="Z69:Z108" si="11">_xlfn.IFNA(HLOOKUP($D69,$W$117:$AA$119,(IF($E69=$V$118,2,3)),FALSE),"")</f>
        <v/>
      </c>
    </row>
    <row r="70" spans="1:37" hidden="1" x14ac:dyDescent="0.25">
      <c r="A70" s="147">
        <v>42</v>
      </c>
      <c r="B70" s="29"/>
      <c r="C70" s="29"/>
      <c r="D70" s="194" t="str" cm="1">
        <f t="array" ref="D70">IFERROR(IF(IFERROR(_xlfn.IFNA(LOOKUP(2,1/('Project SqFt'!$A$18:$A$87=B70)/('Project SqFt'!$B$18:$B$87=C70),'Project SqFt'!$D$18:$D$87),LOOKUP(2,1/('Project SqFt'!$H$18:$H$87=B70)/('Project SqFt'!$I$18:$I$87=C70),'Project SqFt'!$L$18:$L$87)),LOOKUP(2,1/('Project SqFt'!$P$18:$P$87=B70)/('Project SqFt'!$Q$18:$Q$87=C70),'Project SqFt'!$T$18:$T$87))="","",IFERROR(_xlfn.IFNA(LOOKUP(2,1/('Project SqFt'!$A$18:$A$87=B70)/('Project SqFt'!$B$18:$B$87=C70),'Project SqFt'!$D$18:$D$87),LOOKUP(2,1/('Project SqFt'!$H$18:$H$87=B70)/('Project SqFt'!$I$18:$I$87=C70),'Project SqFt'!$L$18:$L$87)),LOOKUP(2,1/('Project SqFt'!$P$18:$P$87=B70)/('Project SqFt'!$Q$18:$Q$87=C70),'Project SqFt'!$T$18:$T$87))),"")</f>
        <v/>
      </c>
      <c r="E70" s="758"/>
      <c r="F70" s="1191"/>
      <c r="G70" s="753"/>
      <c r="H70" s="753"/>
      <c r="I70" s="860"/>
      <c r="J70" s="861"/>
      <c r="K70" s="886" t="str">
        <f t="shared" si="6"/>
        <v/>
      </c>
      <c r="L70" s="886"/>
      <c r="M70" s="725"/>
      <c r="N70" s="29"/>
      <c r="O70" s="489"/>
      <c r="P70" s="29"/>
      <c r="Q70" s="29"/>
      <c r="R70" s="29"/>
      <c r="S70" s="29"/>
      <c r="T70" s="489"/>
      <c r="U70" s="147"/>
      <c r="V70" s="147" t="str">
        <f t="shared" si="7"/>
        <v/>
      </c>
      <c r="W70" s="147" t="str">
        <f t="shared" si="8"/>
        <v/>
      </c>
      <c r="X70" s="147" t="str">
        <f t="shared" si="9"/>
        <v/>
      </c>
      <c r="Y70" s="147" t="str">
        <f t="shared" si="10"/>
        <v/>
      </c>
      <c r="Z70" s="147" t="str">
        <f t="shared" si="11"/>
        <v/>
      </c>
    </row>
    <row r="71" spans="1:37" hidden="1" x14ac:dyDescent="0.25">
      <c r="A71" s="147">
        <v>43</v>
      </c>
      <c r="B71" s="29"/>
      <c r="C71" s="29"/>
      <c r="D71" s="194" t="str" cm="1">
        <f t="array" ref="D71">IFERROR(IF(IFERROR(_xlfn.IFNA(LOOKUP(2,1/('Project SqFt'!$A$18:$A$87=B71)/('Project SqFt'!$B$18:$B$87=C71),'Project SqFt'!$D$18:$D$87),LOOKUP(2,1/('Project SqFt'!$H$18:$H$87=B71)/('Project SqFt'!$I$18:$I$87=C71),'Project SqFt'!$L$18:$L$87)),LOOKUP(2,1/('Project SqFt'!$P$18:$P$87=B71)/('Project SqFt'!$Q$18:$Q$87=C71),'Project SqFt'!$T$18:$T$87))="","",IFERROR(_xlfn.IFNA(LOOKUP(2,1/('Project SqFt'!$A$18:$A$87=B71)/('Project SqFt'!$B$18:$B$87=C71),'Project SqFt'!$D$18:$D$87),LOOKUP(2,1/('Project SqFt'!$H$18:$H$87=B71)/('Project SqFt'!$I$18:$I$87=C71),'Project SqFt'!$L$18:$L$87)),LOOKUP(2,1/('Project SqFt'!$P$18:$P$87=B71)/('Project SqFt'!$Q$18:$Q$87=C71),'Project SqFt'!$T$18:$T$87))),"")</f>
        <v/>
      </c>
      <c r="E71" s="758"/>
      <c r="F71" s="1191"/>
      <c r="G71" s="753"/>
      <c r="H71" s="753"/>
      <c r="I71" s="860"/>
      <c r="J71" s="861"/>
      <c r="K71" s="886" t="str">
        <f t="shared" si="6"/>
        <v/>
      </c>
      <c r="L71" s="886"/>
      <c r="M71" s="725"/>
      <c r="N71" s="29"/>
      <c r="O71" s="489"/>
      <c r="P71" s="29"/>
      <c r="Q71" s="29"/>
      <c r="R71" s="29"/>
      <c r="S71" s="29"/>
      <c r="T71" s="489"/>
      <c r="U71" s="147"/>
      <c r="V71" s="147" t="str">
        <f t="shared" si="7"/>
        <v/>
      </c>
      <c r="W71" s="147" t="str">
        <f t="shared" si="8"/>
        <v/>
      </c>
      <c r="X71" s="147" t="str">
        <f t="shared" si="9"/>
        <v/>
      </c>
      <c r="Y71" s="147" t="str">
        <f t="shared" si="10"/>
        <v/>
      </c>
      <c r="Z71" s="147" t="str">
        <f t="shared" si="11"/>
        <v/>
      </c>
    </row>
    <row r="72" spans="1:37" hidden="1" x14ac:dyDescent="0.25">
      <c r="A72" s="147">
        <v>44</v>
      </c>
      <c r="B72" s="29"/>
      <c r="C72" s="29"/>
      <c r="D72" s="194" t="str" cm="1">
        <f t="array" ref="D72">IFERROR(IF(IFERROR(_xlfn.IFNA(LOOKUP(2,1/('Project SqFt'!$A$18:$A$87=B72)/('Project SqFt'!$B$18:$B$87=C72),'Project SqFt'!$D$18:$D$87),LOOKUP(2,1/('Project SqFt'!$H$18:$H$87=B72)/('Project SqFt'!$I$18:$I$87=C72),'Project SqFt'!$L$18:$L$87)),LOOKUP(2,1/('Project SqFt'!$P$18:$P$87=B72)/('Project SqFt'!$Q$18:$Q$87=C72),'Project SqFt'!$T$18:$T$87))="","",IFERROR(_xlfn.IFNA(LOOKUP(2,1/('Project SqFt'!$A$18:$A$87=B72)/('Project SqFt'!$B$18:$B$87=C72),'Project SqFt'!$D$18:$D$87),LOOKUP(2,1/('Project SqFt'!$H$18:$H$87=B72)/('Project SqFt'!$I$18:$I$87=C72),'Project SqFt'!$L$18:$L$87)),LOOKUP(2,1/('Project SqFt'!$P$18:$P$87=B72)/('Project SqFt'!$Q$18:$Q$87=C72),'Project SqFt'!$T$18:$T$87))),"")</f>
        <v/>
      </c>
      <c r="E72" s="758"/>
      <c r="F72" s="1191"/>
      <c r="G72" s="753"/>
      <c r="H72" s="753"/>
      <c r="I72" s="860"/>
      <c r="J72" s="861"/>
      <c r="K72" s="886" t="str">
        <f t="shared" si="6"/>
        <v/>
      </c>
      <c r="L72" s="886"/>
      <c r="M72" s="725"/>
      <c r="N72" s="29"/>
      <c r="O72" s="489"/>
      <c r="P72" s="29"/>
      <c r="Q72" s="29"/>
      <c r="R72" s="29"/>
      <c r="S72" s="29"/>
      <c r="T72" s="489"/>
      <c r="U72" s="147"/>
      <c r="V72" s="147" t="str">
        <f t="shared" si="7"/>
        <v/>
      </c>
      <c r="W72" s="147" t="str">
        <f t="shared" si="8"/>
        <v/>
      </c>
      <c r="X72" s="147" t="str">
        <f t="shared" si="9"/>
        <v/>
      </c>
      <c r="Y72" s="147" t="str">
        <f t="shared" si="10"/>
        <v/>
      </c>
      <c r="Z72" s="147" t="str">
        <f t="shared" si="11"/>
        <v/>
      </c>
    </row>
    <row r="73" spans="1:37" hidden="1" x14ac:dyDescent="0.25">
      <c r="A73" s="147">
        <v>45</v>
      </c>
      <c r="B73" s="29"/>
      <c r="C73" s="29"/>
      <c r="D73" s="194" t="str" cm="1">
        <f t="array" ref="D73">IFERROR(IF(IFERROR(_xlfn.IFNA(LOOKUP(2,1/('Project SqFt'!$A$18:$A$87=B73)/('Project SqFt'!$B$18:$B$87=C73),'Project SqFt'!$D$18:$D$87),LOOKUP(2,1/('Project SqFt'!$H$18:$H$87=B73)/('Project SqFt'!$I$18:$I$87=C73),'Project SqFt'!$L$18:$L$87)),LOOKUP(2,1/('Project SqFt'!$P$18:$P$87=B73)/('Project SqFt'!$Q$18:$Q$87=C73),'Project SqFt'!$T$18:$T$87))="","",IFERROR(_xlfn.IFNA(LOOKUP(2,1/('Project SqFt'!$A$18:$A$87=B73)/('Project SqFt'!$B$18:$B$87=C73),'Project SqFt'!$D$18:$D$87),LOOKUP(2,1/('Project SqFt'!$H$18:$H$87=B73)/('Project SqFt'!$I$18:$I$87=C73),'Project SqFt'!$L$18:$L$87)),LOOKUP(2,1/('Project SqFt'!$P$18:$P$87=B73)/('Project SqFt'!$Q$18:$Q$87=C73),'Project SqFt'!$T$18:$T$87))),"")</f>
        <v/>
      </c>
      <c r="E73" s="758"/>
      <c r="F73" s="1191"/>
      <c r="G73" s="753"/>
      <c r="H73" s="753"/>
      <c r="I73" s="860"/>
      <c r="J73" s="861"/>
      <c r="K73" s="886" t="str">
        <f t="shared" si="6"/>
        <v/>
      </c>
      <c r="L73" s="886"/>
      <c r="M73" s="725"/>
      <c r="N73" s="29"/>
      <c r="O73" s="489"/>
      <c r="P73" s="29"/>
      <c r="Q73" s="29"/>
      <c r="R73" s="29"/>
      <c r="S73" s="29"/>
      <c r="T73" s="489"/>
      <c r="U73" s="147"/>
      <c r="V73" s="147" t="str">
        <f t="shared" si="7"/>
        <v/>
      </c>
      <c r="W73" s="147" t="str">
        <f t="shared" si="8"/>
        <v/>
      </c>
      <c r="X73" s="147" t="str">
        <f t="shared" si="9"/>
        <v/>
      </c>
      <c r="Y73" s="147" t="str">
        <f t="shared" si="10"/>
        <v/>
      </c>
      <c r="Z73" s="147" t="str">
        <f t="shared" si="11"/>
        <v/>
      </c>
    </row>
    <row r="74" spans="1:37" hidden="1" x14ac:dyDescent="0.25">
      <c r="A74" s="147">
        <v>46</v>
      </c>
      <c r="B74" s="29"/>
      <c r="C74" s="29"/>
      <c r="D74" s="194" t="str" cm="1">
        <f t="array" ref="D74">IFERROR(IF(IFERROR(_xlfn.IFNA(LOOKUP(2,1/('Project SqFt'!$A$18:$A$87=B74)/('Project SqFt'!$B$18:$B$87=C74),'Project SqFt'!$D$18:$D$87),LOOKUP(2,1/('Project SqFt'!$H$18:$H$87=B74)/('Project SqFt'!$I$18:$I$87=C74),'Project SqFt'!$L$18:$L$87)),LOOKUP(2,1/('Project SqFt'!$P$18:$P$87=B74)/('Project SqFt'!$Q$18:$Q$87=C74),'Project SqFt'!$T$18:$T$87))="","",IFERROR(_xlfn.IFNA(LOOKUP(2,1/('Project SqFt'!$A$18:$A$87=B74)/('Project SqFt'!$B$18:$B$87=C74),'Project SqFt'!$D$18:$D$87),LOOKUP(2,1/('Project SqFt'!$H$18:$H$87=B74)/('Project SqFt'!$I$18:$I$87=C74),'Project SqFt'!$L$18:$L$87)),LOOKUP(2,1/('Project SqFt'!$P$18:$P$87=B74)/('Project SqFt'!$Q$18:$Q$87=C74),'Project SqFt'!$T$18:$T$87))),"")</f>
        <v/>
      </c>
      <c r="E74" s="758"/>
      <c r="F74" s="1191"/>
      <c r="G74" s="753"/>
      <c r="H74" s="753"/>
      <c r="I74" s="860"/>
      <c r="J74" s="861"/>
      <c r="K74" s="886" t="str">
        <f t="shared" si="6"/>
        <v/>
      </c>
      <c r="L74" s="886"/>
      <c r="M74" s="725"/>
      <c r="N74" s="29"/>
      <c r="O74" s="489"/>
      <c r="P74" s="29"/>
      <c r="Q74" s="29"/>
      <c r="R74" s="29"/>
      <c r="S74" s="29"/>
      <c r="T74" s="489"/>
      <c r="U74" s="147"/>
      <c r="V74" s="147" t="str">
        <f t="shared" si="7"/>
        <v/>
      </c>
      <c r="W74" s="147" t="str">
        <f t="shared" si="8"/>
        <v/>
      </c>
      <c r="X74" s="147" t="str">
        <f t="shared" si="9"/>
        <v/>
      </c>
      <c r="Y74" s="147" t="str">
        <f t="shared" si="10"/>
        <v/>
      </c>
      <c r="Z74" s="147" t="str">
        <f t="shared" si="11"/>
        <v/>
      </c>
    </row>
    <row r="75" spans="1:37" hidden="1" x14ac:dyDescent="0.25">
      <c r="A75" s="147">
        <v>47</v>
      </c>
      <c r="B75" s="29"/>
      <c r="C75" s="29"/>
      <c r="D75" s="194" t="str" cm="1">
        <f t="array" ref="D75">IFERROR(IF(IFERROR(_xlfn.IFNA(LOOKUP(2,1/('Project SqFt'!$A$18:$A$87=B75)/('Project SqFt'!$B$18:$B$87=C75),'Project SqFt'!$D$18:$D$87),LOOKUP(2,1/('Project SqFt'!$H$18:$H$87=B75)/('Project SqFt'!$I$18:$I$87=C75),'Project SqFt'!$L$18:$L$87)),LOOKUP(2,1/('Project SqFt'!$P$18:$P$87=B75)/('Project SqFt'!$Q$18:$Q$87=C75),'Project SqFt'!$T$18:$T$87))="","",IFERROR(_xlfn.IFNA(LOOKUP(2,1/('Project SqFt'!$A$18:$A$87=B75)/('Project SqFt'!$B$18:$B$87=C75),'Project SqFt'!$D$18:$D$87),LOOKUP(2,1/('Project SqFt'!$H$18:$H$87=B75)/('Project SqFt'!$I$18:$I$87=C75),'Project SqFt'!$L$18:$L$87)),LOOKUP(2,1/('Project SqFt'!$P$18:$P$87=B75)/('Project SqFt'!$Q$18:$Q$87=C75),'Project SqFt'!$T$18:$T$87))),"")</f>
        <v/>
      </c>
      <c r="E75" s="758"/>
      <c r="F75" s="1191"/>
      <c r="G75" s="753"/>
      <c r="H75" s="753"/>
      <c r="I75" s="860"/>
      <c r="J75" s="861"/>
      <c r="K75" s="886" t="str">
        <f t="shared" si="6"/>
        <v/>
      </c>
      <c r="L75" s="886"/>
      <c r="M75" s="725"/>
      <c r="N75" s="29"/>
      <c r="O75" s="489"/>
      <c r="P75" s="29"/>
      <c r="Q75" s="29"/>
      <c r="R75" s="29"/>
      <c r="S75" s="29"/>
      <c r="T75" s="489"/>
      <c r="U75" s="147"/>
      <c r="V75" s="147" t="str">
        <f t="shared" si="7"/>
        <v/>
      </c>
      <c r="W75" s="147" t="str">
        <f t="shared" si="8"/>
        <v/>
      </c>
      <c r="X75" s="147" t="str">
        <f t="shared" si="9"/>
        <v/>
      </c>
      <c r="Y75" s="147" t="str">
        <f t="shared" si="10"/>
        <v/>
      </c>
      <c r="Z75" s="147" t="str">
        <f t="shared" si="11"/>
        <v/>
      </c>
    </row>
    <row r="76" spans="1:37" hidden="1" x14ac:dyDescent="0.25">
      <c r="A76" s="147">
        <v>48</v>
      </c>
      <c r="B76" s="29"/>
      <c r="C76" s="29"/>
      <c r="D76" s="194" t="str" cm="1">
        <f t="array" ref="D76">IFERROR(IF(IFERROR(_xlfn.IFNA(LOOKUP(2,1/('Project SqFt'!$A$18:$A$87=B76)/('Project SqFt'!$B$18:$B$87=C76),'Project SqFt'!$D$18:$D$87),LOOKUP(2,1/('Project SqFt'!$H$18:$H$87=B76)/('Project SqFt'!$I$18:$I$87=C76),'Project SqFt'!$L$18:$L$87)),LOOKUP(2,1/('Project SqFt'!$P$18:$P$87=B76)/('Project SqFt'!$Q$18:$Q$87=C76),'Project SqFt'!$T$18:$T$87))="","",IFERROR(_xlfn.IFNA(LOOKUP(2,1/('Project SqFt'!$A$18:$A$87=B76)/('Project SqFt'!$B$18:$B$87=C76),'Project SqFt'!$D$18:$D$87),LOOKUP(2,1/('Project SqFt'!$H$18:$H$87=B76)/('Project SqFt'!$I$18:$I$87=C76),'Project SqFt'!$L$18:$L$87)),LOOKUP(2,1/('Project SqFt'!$P$18:$P$87=B76)/('Project SqFt'!$Q$18:$Q$87=C76),'Project SqFt'!$T$18:$T$87))),"")</f>
        <v/>
      </c>
      <c r="E76" s="758"/>
      <c r="F76" s="1191"/>
      <c r="G76" s="753"/>
      <c r="H76" s="753"/>
      <c r="I76" s="860"/>
      <c r="J76" s="861"/>
      <c r="K76" s="886" t="str">
        <f t="shared" si="6"/>
        <v/>
      </c>
      <c r="L76" s="886"/>
      <c r="M76" s="725"/>
      <c r="N76" s="29"/>
      <c r="O76" s="489"/>
      <c r="P76" s="29"/>
      <c r="Q76" s="29"/>
      <c r="R76" s="29"/>
      <c r="S76" s="29"/>
      <c r="T76" s="489"/>
      <c r="U76" s="147"/>
      <c r="V76" s="147" t="str">
        <f t="shared" si="7"/>
        <v/>
      </c>
      <c r="W76" s="147" t="str">
        <f t="shared" si="8"/>
        <v/>
      </c>
      <c r="X76" s="147" t="str">
        <f t="shared" si="9"/>
        <v/>
      </c>
      <c r="Y76" s="147" t="str">
        <f t="shared" si="10"/>
        <v/>
      </c>
      <c r="Z76" s="147" t="str">
        <f t="shared" si="11"/>
        <v/>
      </c>
    </row>
    <row r="77" spans="1:37" hidden="1" x14ac:dyDescent="0.25">
      <c r="A77" s="147">
        <v>49</v>
      </c>
      <c r="B77" s="29"/>
      <c r="C77" s="29"/>
      <c r="D77" s="194" t="str" cm="1">
        <f t="array" ref="D77">IFERROR(IF(IFERROR(_xlfn.IFNA(LOOKUP(2,1/('Project SqFt'!$A$18:$A$87=B77)/('Project SqFt'!$B$18:$B$87=C77),'Project SqFt'!$D$18:$D$87),LOOKUP(2,1/('Project SqFt'!$H$18:$H$87=B77)/('Project SqFt'!$I$18:$I$87=C77),'Project SqFt'!$L$18:$L$87)),LOOKUP(2,1/('Project SqFt'!$P$18:$P$87=B77)/('Project SqFt'!$Q$18:$Q$87=C77),'Project SqFt'!$T$18:$T$87))="","",IFERROR(_xlfn.IFNA(LOOKUP(2,1/('Project SqFt'!$A$18:$A$87=B77)/('Project SqFt'!$B$18:$B$87=C77),'Project SqFt'!$D$18:$D$87),LOOKUP(2,1/('Project SqFt'!$H$18:$H$87=B77)/('Project SqFt'!$I$18:$I$87=C77),'Project SqFt'!$L$18:$L$87)),LOOKUP(2,1/('Project SqFt'!$P$18:$P$87=B77)/('Project SqFt'!$Q$18:$Q$87=C77),'Project SqFt'!$T$18:$T$87))),"")</f>
        <v/>
      </c>
      <c r="E77" s="758"/>
      <c r="F77" s="1191"/>
      <c r="G77" s="753"/>
      <c r="H77" s="753"/>
      <c r="I77" s="860"/>
      <c r="J77" s="861"/>
      <c r="K77" s="886" t="str">
        <f t="shared" si="6"/>
        <v/>
      </c>
      <c r="L77" s="886"/>
      <c r="M77" s="725"/>
      <c r="N77" s="29"/>
      <c r="O77" s="489"/>
      <c r="P77" s="29"/>
      <c r="Q77" s="29"/>
      <c r="R77" s="29"/>
      <c r="S77" s="29"/>
      <c r="T77" s="489"/>
      <c r="U77" s="147"/>
      <c r="V77" s="147" t="str">
        <f t="shared" si="7"/>
        <v/>
      </c>
      <c r="W77" s="147" t="str">
        <f t="shared" si="8"/>
        <v/>
      </c>
      <c r="X77" s="147" t="str">
        <f t="shared" si="9"/>
        <v/>
      </c>
      <c r="Y77" s="147" t="str">
        <f t="shared" si="10"/>
        <v/>
      </c>
      <c r="Z77" s="147" t="str">
        <f t="shared" si="11"/>
        <v/>
      </c>
      <c r="AD77" s="319"/>
    </row>
    <row r="78" spans="1:37" hidden="1" x14ac:dyDescent="0.25">
      <c r="A78" s="147">
        <v>50</v>
      </c>
      <c r="B78" s="29"/>
      <c r="C78" s="29"/>
      <c r="D78" s="194" t="str" cm="1">
        <f t="array" ref="D78">IFERROR(IF(IFERROR(_xlfn.IFNA(LOOKUP(2,1/('Project SqFt'!$A$18:$A$87=B78)/('Project SqFt'!$B$18:$B$87=C78),'Project SqFt'!$D$18:$D$87),LOOKUP(2,1/('Project SqFt'!$H$18:$H$87=B78)/('Project SqFt'!$I$18:$I$87=C78),'Project SqFt'!$L$18:$L$87)),LOOKUP(2,1/('Project SqFt'!$P$18:$P$87=B78)/('Project SqFt'!$Q$18:$Q$87=C78),'Project SqFt'!$T$18:$T$87))="","",IFERROR(_xlfn.IFNA(LOOKUP(2,1/('Project SqFt'!$A$18:$A$87=B78)/('Project SqFt'!$B$18:$B$87=C78),'Project SqFt'!$D$18:$D$87),LOOKUP(2,1/('Project SqFt'!$H$18:$H$87=B78)/('Project SqFt'!$I$18:$I$87=C78),'Project SqFt'!$L$18:$L$87)),LOOKUP(2,1/('Project SqFt'!$P$18:$P$87=B78)/('Project SqFt'!$Q$18:$Q$87=C78),'Project SqFt'!$T$18:$T$87))),"")</f>
        <v/>
      </c>
      <c r="E78" s="758"/>
      <c r="F78" s="1191"/>
      <c r="G78" s="753"/>
      <c r="H78" s="753"/>
      <c r="I78" s="860"/>
      <c r="J78" s="861"/>
      <c r="K78" s="886" t="str">
        <f t="shared" si="6"/>
        <v/>
      </c>
      <c r="L78" s="886"/>
      <c r="M78" s="725"/>
      <c r="N78" s="29"/>
      <c r="O78" s="489"/>
      <c r="P78" s="29"/>
      <c r="Q78" s="29"/>
      <c r="R78" s="29"/>
      <c r="S78" s="29"/>
      <c r="T78" s="489"/>
      <c r="U78" s="147"/>
      <c r="V78" s="147" t="str">
        <f t="shared" si="7"/>
        <v/>
      </c>
      <c r="W78" s="147" t="str">
        <f t="shared" si="8"/>
        <v/>
      </c>
      <c r="X78" s="147" t="str">
        <f t="shared" si="9"/>
        <v/>
      </c>
      <c r="Y78" s="147" t="str">
        <f t="shared" si="10"/>
        <v/>
      </c>
      <c r="Z78" s="147" t="str">
        <f t="shared" si="11"/>
        <v/>
      </c>
      <c r="AD78" s="319"/>
    </row>
    <row r="79" spans="1:37" hidden="1" x14ac:dyDescent="0.25">
      <c r="A79" s="147">
        <v>51</v>
      </c>
      <c r="B79" s="29"/>
      <c r="C79" s="29"/>
      <c r="D79" s="194" t="str" cm="1">
        <f t="array" ref="D79">IFERROR(IF(IFERROR(_xlfn.IFNA(LOOKUP(2,1/('Project SqFt'!$A$18:$A$87=B79)/('Project SqFt'!$B$18:$B$87=C79),'Project SqFt'!$D$18:$D$87),LOOKUP(2,1/('Project SqFt'!$H$18:$H$87=B79)/('Project SqFt'!$I$18:$I$87=C79),'Project SqFt'!$L$18:$L$87)),LOOKUP(2,1/('Project SqFt'!$P$18:$P$87=B79)/('Project SqFt'!$Q$18:$Q$87=C79),'Project SqFt'!$T$18:$T$87))="","",IFERROR(_xlfn.IFNA(LOOKUP(2,1/('Project SqFt'!$A$18:$A$87=B79)/('Project SqFt'!$B$18:$B$87=C79),'Project SqFt'!$D$18:$D$87),LOOKUP(2,1/('Project SqFt'!$H$18:$H$87=B79)/('Project SqFt'!$I$18:$I$87=C79),'Project SqFt'!$L$18:$L$87)),LOOKUP(2,1/('Project SqFt'!$P$18:$P$87=B79)/('Project SqFt'!$Q$18:$Q$87=C79),'Project SqFt'!$T$18:$T$87))),"")</f>
        <v/>
      </c>
      <c r="E79" s="758"/>
      <c r="F79" s="1191"/>
      <c r="G79" s="753"/>
      <c r="H79" s="753"/>
      <c r="I79" s="860"/>
      <c r="J79" s="861"/>
      <c r="K79" s="886" t="str">
        <f t="shared" si="6"/>
        <v/>
      </c>
      <c r="L79" s="886"/>
      <c r="M79" s="725"/>
      <c r="N79" s="29"/>
      <c r="O79" s="489"/>
      <c r="P79" s="29"/>
      <c r="Q79" s="29"/>
      <c r="R79" s="29"/>
      <c r="S79" s="29"/>
      <c r="T79" s="489"/>
      <c r="U79" s="147"/>
      <c r="V79" s="147" t="str">
        <f t="shared" si="7"/>
        <v/>
      </c>
      <c r="W79" s="147" t="str">
        <f t="shared" si="8"/>
        <v/>
      </c>
      <c r="X79" s="147" t="str">
        <f t="shared" si="9"/>
        <v/>
      </c>
      <c r="Y79" s="147" t="str">
        <f t="shared" si="10"/>
        <v/>
      </c>
      <c r="Z79" s="147" t="str">
        <f t="shared" si="11"/>
        <v/>
      </c>
    </row>
    <row r="80" spans="1:37" hidden="1" x14ac:dyDescent="0.25">
      <c r="A80" s="147">
        <v>52</v>
      </c>
      <c r="B80" s="29"/>
      <c r="C80" s="29"/>
      <c r="D80" s="194" t="str" cm="1">
        <f t="array" ref="D80">IFERROR(IF(IFERROR(_xlfn.IFNA(LOOKUP(2,1/('Project SqFt'!$A$18:$A$87=B80)/('Project SqFt'!$B$18:$B$87=C80),'Project SqFt'!$D$18:$D$87),LOOKUP(2,1/('Project SqFt'!$H$18:$H$87=B80)/('Project SqFt'!$I$18:$I$87=C80),'Project SqFt'!$L$18:$L$87)),LOOKUP(2,1/('Project SqFt'!$P$18:$P$87=B80)/('Project SqFt'!$Q$18:$Q$87=C80),'Project SqFt'!$T$18:$T$87))="","",IFERROR(_xlfn.IFNA(LOOKUP(2,1/('Project SqFt'!$A$18:$A$87=B80)/('Project SqFt'!$B$18:$B$87=C80),'Project SqFt'!$D$18:$D$87),LOOKUP(2,1/('Project SqFt'!$H$18:$H$87=B80)/('Project SqFt'!$I$18:$I$87=C80),'Project SqFt'!$L$18:$L$87)),LOOKUP(2,1/('Project SqFt'!$P$18:$P$87=B80)/('Project SqFt'!$Q$18:$Q$87=C80),'Project SqFt'!$T$18:$T$87))),"")</f>
        <v/>
      </c>
      <c r="E80" s="758"/>
      <c r="F80" s="1191"/>
      <c r="G80" s="753"/>
      <c r="H80" s="753"/>
      <c r="I80" s="860"/>
      <c r="J80" s="861"/>
      <c r="K80" s="886" t="str">
        <f t="shared" si="6"/>
        <v/>
      </c>
      <c r="L80" s="886"/>
      <c r="M80" s="725"/>
      <c r="N80" s="29"/>
      <c r="O80" s="489"/>
      <c r="P80" s="29"/>
      <c r="Q80" s="29"/>
      <c r="R80" s="29"/>
      <c r="S80" s="29"/>
      <c r="T80" s="489"/>
      <c r="U80" s="147"/>
      <c r="V80" s="147" t="str">
        <f t="shared" si="7"/>
        <v/>
      </c>
      <c r="W80" s="147" t="str">
        <f t="shared" si="8"/>
        <v/>
      </c>
      <c r="X80" s="147" t="str">
        <f t="shared" si="9"/>
        <v/>
      </c>
      <c r="Y80" s="147" t="str">
        <f t="shared" si="10"/>
        <v/>
      </c>
      <c r="Z80" s="147" t="str">
        <f t="shared" si="11"/>
        <v/>
      </c>
    </row>
    <row r="81" spans="1:26" hidden="1" x14ac:dyDescent="0.25">
      <c r="A81" s="147">
        <v>53</v>
      </c>
      <c r="B81" s="29"/>
      <c r="C81" s="29"/>
      <c r="D81" s="194" t="str" cm="1">
        <f t="array" ref="D81">IFERROR(IF(IFERROR(_xlfn.IFNA(LOOKUP(2,1/('Project SqFt'!$A$18:$A$87=B81)/('Project SqFt'!$B$18:$B$87=C81),'Project SqFt'!$D$18:$D$87),LOOKUP(2,1/('Project SqFt'!$H$18:$H$87=B81)/('Project SqFt'!$I$18:$I$87=C81),'Project SqFt'!$L$18:$L$87)),LOOKUP(2,1/('Project SqFt'!$P$18:$P$87=B81)/('Project SqFt'!$Q$18:$Q$87=C81),'Project SqFt'!$T$18:$T$87))="","",IFERROR(_xlfn.IFNA(LOOKUP(2,1/('Project SqFt'!$A$18:$A$87=B81)/('Project SqFt'!$B$18:$B$87=C81),'Project SqFt'!$D$18:$D$87),LOOKUP(2,1/('Project SqFt'!$H$18:$H$87=B81)/('Project SqFt'!$I$18:$I$87=C81),'Project SqFt'!$L$18:$L$87)),LOOKUP(2,1/('Project SqFt'!$P$18:$P$87=B81)/('Project SqFt'!$Q$18:$Q$87=C81),'Project SqFt'!$T$18:$T$87))),"")</f>
        <v/>
      </c>
      <c r="E81" s="758"/>
      <c r="F81" s="1191"/>
      <c r="G81" s="753"/>
      <c r="H81" s="753"/>
      <c r="I81" s="860"/>
      <c r="J81" s="861"/>
      <c r="K81" s="886" t="str">
        <f t="shared" si="6"/>
        <v/>
      </c>
      <c r="L81" s="886"/>
      <c r="M81" s="725"/>
      <c r="N81" s="29"/>
      <c r="O81" s="489"/>
      <c r="P81" s="29"/>
      <c r="Q81" s="29"/>
      <c r="R81" s="29"/>
      <c r="S81" s="29"/>
      <c r="T81" s="489"/>
      <c r="U81" s="147"/>
      <c r="V81" s="147" t="str">
        <f t="shared" si="7"/>
        <v/>
      </c>
      <c r="W81" s="147" t="str">
        <f t="shared" si="8"/>
        <v/>
      </c>
      <c r="X81" s="147" t="str">
        <f t="shared" si="9"/>
        <v/>
      </c>
      <c r="Y81" s="147" t="str">
        <f t="shared" si="10"/>
        <v/>
      </c>
      <c r="Z81" s="147" t="str">
        <f t="shared" si="11"/>
        <v/>
      </c>
    </row>
    <row r="82" spans="1:26" hidden="1" x14ac:dyDescent="0.25">
      <c r="A82" s="147">
        <v>54</v>
      </c>
      <c r="B82" s="29"/>
      <c r="C82" s="29"/>
      <c r="D82" s="194" t="str" cm="1">
        <f t="array" ref="D82">IFERROR(IF(IFERROR(_xlfn.IFNA(LOOKUP(2,1/('Project SqFt'!$A$18:$A$87=B82)/('Project SqFt'!$B$18:$B$87=C82),'Project SqFt'!$D$18:$D$87),LOOKUP(2,1/('Project SqFt'!$H$18:$H$87=B82)/('Project SqFt'!$I$18:$I$87=C82),'Project SqFt'!$L$18:$L$87)),LOOKUP(2,1/('Project SqFt'!$P$18:$P$87=B82)/('Project SqFt'!$Q$18:$Q$87=C82),'Project SqFt'!$T$18:$T$87))="","",IFERROR(_xlfn.IFNA(LOOKUP(2,1/('Project SqFt'!$A$18:$A$87=B82)/('Project SqFt'!$B$18:$B$87=C82),'Project SqFt'!$D$18:$D$87),LOOKUP(2,1/('Project SqFt'!$H$18:$H$87=B82)/('Project SqFt'!$I$18:$I$87=C82),'Project SqFt'!$L$18:$L$87)),LOOKUP(2,1/('Project SqFt'!$P$18:$P$87=B82)/('Project SqFt'!$Q$18:$Q$87=C82),'Project SqFt'!$T$18:$T$87))),"")</f>
        <v/>
      </c>
      <c r="E82" s="758"/>
      <c r="F82" s="1191"/>
      <c r="G82" s="753"/>
      <c r="H82" s="753"/>
      <c r="I82" s="860"/>
      <c r="J82" s="861"/>
      <c r="K82" s="886" t="str">
        <f t="shared" si="6"/>
        <v/>
      </c>
      <c r="L82" s="886"/>
      <c r="M82" s="725"/>
      <c r="N82" s="29"/>
      <c r="O82" s="489"/>
      <c r="P82" s="29"/>
      <c r="Q82" s="29"/>
      <c r="R82" s="29"/>
      <c r="S82" s="29"/>
      <c r="T82" s="489"/>
      <c r="U82" s="147"/>
      <c r="V82" s="147" t="str">
        <f t="shared" si="7"/>
        <v/>
      </c>
      <c r="W82" s="147" t="str">
        <f t="shared" si="8"/>
        <v/>
      </c>
      <c r="X82" s="147" t="str">
        <f t="shared" si="9"/>
        <v/>
      </c>
      <c r="Y82" s="147" t="str">
        <f t="shared" si="10"/>
        <v/>
      </c>
      <c r="Z82" s="147" t="str">
        <f t="shared" si="11"/>
        <v/>
      </c>
    </row>
    <row r="83" spans="1:26" hidden="1" x14ac:dyDescent="0.25">
      <c r="A83" s="147">
        <v>55</v>
      </c>
      <c r="B83" s="29"/>
      <c r="C83" s="29"/>
      <c r="D83" s="194" t="str" cm="1">
        <f t="array" ref="D83">IFERROR(IF(IFERROR(_xlfn.IFNA(LOOKUP(2,1/('Project SqFt'!$A$18:$A$87=B83)/('Project SqFt'!$B$18:$B$87=C83),'Project SqFt'!$D$18:$D$87),LOOKUP(2,1/('Project SqFt'!$H$18:$H$87=B83)/('Project SqFt'!$I$18:$I$87=C83),'Project SqFt'!$L$18:$L$87)),LOOKUP(2,1/('Project SqFt'!$P$18:$P$87=B83)/('Project SqFt'!$Q$18:$Q$87=C83),'Project SqFt'!$T$18:$T$87))="","",IFERROR(_xlfn.IFNA(LOOKUP(2,1/('Project SqFt'!$A$18:$A$87=B83)/('Project SqFt'!$B$18:$B$87=C83),'Project SqFt'!$D$18:$D$87),LOOKUP(2,1/('Project SqFt'!$H$18:$H$87=B83)/('Project SqFt'!$I$18:$I$87=C83),'Project SqFt'!$L$18:$L$87)),LOOKUP(2,1/('Project SqFt'!$P$18:$P$87=B83)/('Project SqFt'!$Q$18:$Q$87=C83),'Project SqFt'!$T$18:$T$87))),"")</f>
        <v/>
      </c>
      <c r="E83" s="758"/>
      <c r="F83" s="1191"/>
      <c r="G83" s="753"/>
      <c r="H83" s="753"/>
      <c r="I83" s="860"/>
      <c r="J83" s="861"/>
      <c r="K83" s="886" t="str">
        <f t="shared" si="6"/>
        <v/>
      </c>
      <c r="L83" s="886"/>
      <c r="M83" s="725"/>
      <c r="N83" s="29"/>
      <c r="O83" s="489"/>
      <c r="P83" s="29"/>
      <c r="Q83" s="29"/>
      <c r="R83" s="29"/>
      <c r="S83" s="29"/>
      <c r="T83" s="489"/>
      <c r="U83" s="147"/>
      <c r="V83" s="147" t="str">
        <f t="shared" si="7"/>
        <v/>
      </c>
      <c r="W83" s="147" t="str">
        <f t="shared" si="8"/>
        <v/>
      </c>
      <c r="X83" s="147" t="str">
        <f t="shared" si="9"/>
        <v/>
      </c>
      <c r="Y83" s="147" t="str">
        <f t="shared" si="10"/>
        <v/>
      </c>
      <c r="Z83" s="147" t="str">
        <f t="shared" si="11"/>
        <v/>
      </c>
    </row>
    <row r="84" spans="1:26" hidden="1" x14ac:dyDescent="0.25">
      <c r="A84" s="147">
        <v>56</v>
      </c>
      <c r="B84" s="29"/>
      <c r="C84" s="29"/>
      <c r="D84" s="194" t="str" cm="1">
        <f t="array" ref="D84">IFERROR(IF(IFERROR(_xlfn.IFNA(LOOKUP(2,1/('Project SqFt'!$A$18:$A$87=B84)/('Project SqFt'!$B$18:$B$87=C84),'Project SqFt'!$D$18:$D$87),LOOKUP(2,1/('Project SqFt'!$H$18:$H$87=B84)/('Project SqFt'!$I$18:$I$87=C84),'Project SqFt'!$L$18:$L$87)),LOOKUP(2,1/('Project SqFt'!$P$18:$P$87=B84)/('Project SqFt'!$Q$18:$Q$87=C84),'Project SqFt'!$T$18:$T$87))="","",IFERROR(_xlfn.IFNA(LOOKUP(2,1/('Project SqFt'!$A$18:$A$87=B84)/('Project SqFt'!$B$18:$B$87=C84),'Project SqFt'!$D$18:$D$87),LOOKUP(2,1/('Project SqFt'!$H$18:$H$87=B84)/('Project SqFt'!$I$18:$I$87=C84),'Project SqFt'!$L$18:$L$87)),LOOKUP(2,1/('Project SqFt'!$P$18:$P$87=B84)/('Project SqFt'!$Q$18:$Q$87=C84),'Project SqFt'!$T$18:$T$87))),"")</f>
        <v/>
      </c>
      <c r="E84" s="758"/>
      <c r="F84" s="1191"/>
      <c r="G84" s="753"/>
      <c r="H84" s="753"/>
      <c r="I84" s="860"/>
      <c r="J84" s="861"/>
      <c r="K84" s="886" t="str">
        <f t="shared" si="6"/>
        <v/>
      </c>
      <c r="L84" s="886"/>
      <c r="M84" s="725"/>
      <c r="N84" s="29"/>
      <c r="O84" s="489"/>
      <c r="P84" s="29"/>
      <c r="Q84" s="29"/>
      <c r="R84" s="29"/>
      <c r="S84" s="29"/>
      <c r="T84" s="489"/>
      <c r="U84" s="147"/>
      <c r="V84" s="147" t="str">
        <f t="shared" si="7"/>
        <v/>
      </c>
      <c r="W84" s="147" t="str">
        <f t="shared" si="8"/>
        <v/>
      </c>
      <c r="X84" s="147" t="str">
        <f t="shared" si="9"/>
        <v/>
      </c>
      <c r="Y84" s="147" t="str">
        <f t="shared" si="10"/>
        <v/>
      </c>
      <c r="Z84" s="147" t="str">
        <f t="shared" si="11"/>
        <v/>
      </c>
    </row>
    <row r="85" spans="1:26" hidden="1" x14ac:dyDescent="0.25">
      <c r="A85" s="147">
        <v>57</v>
      </c>
      <c r="B85" s="29"/>
      <c r="C85" s="29"/>
      <c r="D85" s="194" t="str" cm="1">
        <f t="array" ref="D85">IFERROR(IF(IFERROR(_xlfn.IFNA(LOOKUP(2,1/('Project SqFt'!$A$18:$A$87=B85)/('Project SqFt'!$B$18:$B$87=C85),'Project SqFt'!$D$18:$D$87),LOOKUP(2,1/('Project SqFt'!$H$18:$H$87=B85)/('Project SqFt'!$I$18:$I$87=C85),'Project SqFt'!$L$18:$L$87)),LOOKUP(2,1/('Project SqFt'!$P$18:$P$87=B85)/('Project SqFt'!$Q$18:$Q$87=C85),'Project SqFt'!$T$18:$T$87))="","",IFERROR(_xlfn.IFNA(LOOKUP(2,1/('Project SqFt'!$A$18:$A$87=B85)/('Project SqFt'!$B$18:$B$87=C85),'Project SqFt'!$D$18:$D$87),LOOKUP(2,1/('Project SqFt'!$H$18:$H$87=B85)/('Project SqFt'!$I$18:$I$87=C85),'Project SqFt'!$L$18:$L$87)),LOOKUP(2,1/('Project SqFt'!$P$18:$P$87=B85)/('Project SqFt'!$Q$18:$Q$87=C85),'Project SqFt'!$T$18:$T$87))),"")</f>
        <v/>
      </c>
      <c r="E85" s="758"/>
      <c r="F85" s="1191"/>
      <c r="G85" s="753"/>
      <c r="H85" s="753"/>
      <c r="I85" s="860"/>
      <c r="J85" s="861"/>
      <c r="K85" s="886" t="str">
        <f t="shared" si="6"/>
        <v/>
      </c>
      <c r="L85" s="886"/>
      <c r="M85" s="725"/>
      <c r="N85" s="29"/>
      <c r="O85" s="489"/>
      <c r="P85" s="29"/>
      <c r="Q85" s="29"/>
      <c r="R85" s="29"/>
      <c r="S85" s="29"/>
      <c r="T85" s="489"/>
      <c r="U85" s="147"/>
      <c r="V85" s="147" t="str">
        <f t="shared" si="7"/>
        <v/>
      </c>
      <c r="W85" s="147" t="str">
        <f t="shared" si="8"/>
        <v/>
      </c>
      <c r="X85" s="147" t="str">
        <f t="shared" si="9"/>
        <v/>
      </c>
      <c r="Y85" s="147" t="str">
        <f t="shared" si="10"/>
        <v/>
      </c>
      <c r="Z85" s="147" t="str">
        <f t="shared" si="11"/>
        <v/>
      </c>
    </row>
    <row r="86" spans="1:26" hidden="1" x14ac:dyDescent="0.25">
      <c r="A86" s="147">
        <v>58</v>
      </c>
      <c r="B86" s="29"/>
      <c r="C86" s="29"/>
      <c r="D86" s="194" t="str" cm="1">
        <f t="array" ref="D86">IFERROR(IF(IFERROR(_xlfn.IFNA(LOOKUP(2,1/('Project SqFt'!$A$18:$A$87=B86)/('Project SqFt'!$B$18:$B$87=C86),'Project SqFt'!$D$18:$D$87),LOOKUP(2,1/('Project SqFt'!$H$18:$H$87=B86)/('Project SqFt'!$I$18:$I$87=C86),'Project SqFt'!$L$18:$L$87)),LOOKUP(2,1/('Project SqFt'!$P$18:$P$87=B86)/('Project SqFt'!$Q$18:$Q$87=C86),'Project SqFt'!$T$18:$T$87))="","",IFERROR(_xlfn.IFNA(LOOKUP(2,1/('Project SqFt'!$A$18:$A$87=B86)/('Project SqFt'!$B$18:$B$87=C86),'Project SqFt'!$D$18:$D$87),LOOKUP(2,1/('Project SqFt'!$H$18:$H$87=B86)/('Project SqFt'!$I$18:$I$87=C86),'Project SqFt'!$L$18:$L$87)),LOOKUP(2,1/('Project SqFt'!$P$18:$P$87=B86)/('Project SqFt'!$Q$18:$Q$87=C86),'Project SqFt'!$T$18:$T$87))),"")</f>
        <v/>
      </c>
      <c r="E86" s="758"/>
      <c r="F86" s="1191"/>
      <c r="G86" s="753"/>
      <c r="H86" s="753"/>
      <c r="I86" s="860"/>
      <c r="J86" s="861"/>
      <c r="K86" s="886" t="str">
        <f t="shared" si="6"/>
        <v/>
      </c>
      <c r="L86" s="886"/>
      <c r="M86" s="725"/>
      <c r="N86" s="29"/>
      <c r="O86" s="489"/>
      <c r="P86" s="29"/>
      <c r="Q86" s="29"/>
      <c r="R86" s="29"/>
      <c r="S86" s="29"/>
      <c r="T86" s="489"/>
      <c r="U86" s="147"/>
      <c r="V86" s="147" t="str">
        <f t="shared" si="7"/>
        <v/>
      </c>
      <c r="W86" s="147" t="str">
        <f t="shared" si="8"/>
        <v/>
      </c>
      <c r="X86" s="147" t="str">
        <f t="shared" si="9"/>
        <v/>
      </c>
      <c r="Y86" s="147" t="str">
        <f t="shared" si="10"/>
        <v/>
      </c>
      <c r="Z86" s="147" t="str">
        <f t="shared" si="11"/>
        <v/>
      </c>
    </row>
    <row r="87" spans="1:26" hidden="1" x14ac:dyDescent="0.25">
      <c r="A87" s="147">
        <v>59</v>
      </c>
      <c r="B87" s="29"/>
      <c r="C87" s="29"/>
      <c r="D87" s="194" t="str" cm="1">
        <f t="array" ref="D87">IFERROR(IF(IFERROR(_xlfn.IFNA(LOOKUP(2,1/('Project SqFt'!$A$18:$A$87=B87)/('Project SqFt'!$B$18:$B$87=C87),'Project SqFt'!$D$18:$D$87),LOOKUP(2,1/('Project SqFt'!$H$18:$H$87=B87)/('Project SqFt'!$I$18:$I$87=C87),'Project SqFt'!$L$18:$L$87)),LOOKUP(2,1/('Project SqFt'!$P$18:$P$87=B87)/('Project SqFt'!$Q$18:$Q$87=C87),'Project SqFt'!$T$18:$T$87))="","",IFERROR(_xlfn.IFNA(LOOKUP(2,1/('Project SqFt'!$A$18:$A$87=B87)/('Project SqFt'!$B$18:$B$87=C87),'Project SqFt'!$D$18:$D$87),LOOKUP(2,1/('Project SqFt'!$H$18:$H$87=B87)/('Project SqFt'!$I$18:$I$87=C87),'Project SqFt'!$L$18:$L$87)),LOOKUP(2,1/('Project SqFt'!$P$18:$P$87=B87)/('Project SqFt'!$Q$18:$Q$87=C87),'Project SqFt'!$T$18:$T$87))),"")</f>
        <v/>
      </c>
      <c r="E87" s="758"/>
      <c r="F87" s="1191"/>
      <c r="G87" s="753"/>
      <c r="H87" s="753"/>
      <c r="I87" s="860"/>
      <c r="J87" s="861"/>
      <c r="K87" s="886" t="str">
        <f t="shared" si="6"/>
        <v/>
      </c>
      <c r="L87" s="886"/>
      <c r="M87" s="725"/>
      <c r="N87" s="29"/>
      <c r="O87" s="489"/>
      <c r="P87" s="29"/>
      <c r="Q87" s="29"/>
      <c r="R87" s="29"/>
      <c r="S87" s="29"/>
      <c r="T87" s="489"/>
      <c r="U87" s="147"/>
      <c r="V87" s="147" t="str">
        <f t="shared" si="7"/>
        <v/>
      </c>
      <c r="W87" s="147" t="str">
        <f t="shared" si="8"/>
        <v/>
      </c>
      <c r="X87" s="147" t="str">
        <f t="shared" si="9"/>
        <v/>
      </c>
      <c r="Y87" s="147" t="str">
        <f t="shared" si="10"/>
        <v/>
      </c>
      <c r="Z87" s="147" t="str">
        <f t="shared" si="11"/>
        <v/>
      </c>
    </row>
    <row r="88" spans="1:26" hidden="1" x14ac:dyDescent="0.25">
      <c r="A88" s="147">
        <v>60</v>
      </c>
      <c r="B88" s="29"/>
      <c r="C88" s="29"/>
      <c r="D88" s="194" t="str" cm="1">
        <f t="array" ref="D88">IFERROR(IF(IFERROR(_xlfn.IFNA(LOOKUP(2,1/('Project SqFt'!$A$18:$A$87=B88)/('Project SqFt'!$B$18:$B$87=C88),'Project SqFt'!$D$18:$D$87),LOOKUP(2,1/('Project SqFt'!$H$18:$H$87=B88)/('Project SqFt'!$I$18:$I$87=C88),'Project SqFt'!$L$18:$L$87)),LOOKUP(2,1/('Project SqFt'!$P$18:$P$87=B88)/('Project SqFt'!$Q$18:$Q$87=C88),'Project SqFt'!$T$18:$T$87))="","",IFERROR(_xlfn.IFNA(LOOKUP(2,1/('Project SqFt'!$A$18:$A$87=B88)/('Project SqFt'!$B$18:$B$87=C88),'Project SqFt'!$D$18:$D$87),LOOKUP(2,1/('Project SqFt'!$H$18:$H$87=B88)/('Project SqFt'!$I$18:$I$87=C88),'Project SqFt'!$L$18:$L$87)),LOOKUP(2,1/('Project SqFt'!$P$18:$P$87=B88)/('Project SqFt'!$Q$18:$Q$87=C88),'Project SqFt'!$T$18:$T$87))),"")</f>
        <v/>
      </c>
      <c r="E88" s="758"/>
      <c r="F88" s="1191"/>
      <c r="G88" s="753"/>
      <c r="H88" s="753"/>
      <c r="I88" s="860"/>
      <c r="J88" s="861"/>
      <c r="K88" s="886" t="str">
        <f t="shared" si="6"/>
        <v/>
      </c>
      <c r="L88" s="886"/>
      <c r="M88" s="725"/>
      <c r="N88" s="29"/>
      <c r="O88" s="489"/>
      <c r="P88" s="29"/>
      <c r="Q88" s="29"/>
      <c r="R88" s="29"/>
      <c r="S88" s="29"/>
      <c r="T88" s="489"/>
      <c r="U88" s="147"/>
      <c r="V88" s="147" t="str">
        <f t="shared" si="7"/>
        <v/>
      </c>
      <c r="W88" s="147" t="str">
        <f t="shared" si="8"/>
        <v/>
      </c>
      <c r="X88" s="147" t="str">
        <f t="shared" si="9"/>
        <v/>
      </c>
      <c r="Y88" s="147" t="str">
        <f t="shared" si="10"/>
        <v/>
      </c>
      <c r="Z88" s="147" t="str">
        <f t="shared" si="11"/>
        <v/>
      </c>
    </row>
    <row r="89" spans="1:26" hidden="1" x14ac:dyDescent="0.25">
      <c r="A89" s="147">
        <v>61</v>
      </c>
      <c r="B89" s="29"/>
      <c r="C89" s="29"/>
      <c r="D89" s="194" t="str" cm="1">
        <f t="array" ref="D89">IFERROR(IF(IFERROR(_xlfn.IFNA(LOOKUP(2,1/('Project SqFt'!$A$18:$A$87=B89)/('Project SqFt'!$B$18:$B$87=C89),'Project SqFt'!$D$18:$D$87),LOOKUP(2,1/('Project SqFt'!$H$18:$H$87=B89)/('Project SqFt'!$I$18:$I$87=C89),'Project SqFt'!$L$18:$L$87)),LOOKUP(2,1/('Project SqFt'!$P$18:$P$87=B89)/('Project SqFt'!$Q$18:$Q$87=C89),'Project SqFt'!$T$18:$T$87))="","",IFERROR(_xlfn.IFNA(LOOKUP(2,1/('Project SqFt'!$A$18:$A$87=B89)/('Project SqFt'!$B$18:$B$87=C89),'Project SqFt'!$D$18:$D$87),LOOKUP(2,1/('Project SqFt'!$H$18:$H$87=B89)/('Project SqFt'!$I$18:$I$87=C89),'Project SqFt'!$L$18:$L$87)),LOOKUP(2,1/('Project SqFt'!$P$18:$P$87=B89)/('Project SqFt'!$Q$18:$Q$87=C89),'Project SqFt'!$T$18:$T$87))),"")</f>
        <v/>
      </c>
      <c r="E89" s="758"/>
      <c r="F89" s="1191"/>
      <c r="G89" s="753"/>
      <c r="H89" s="753"/>
      <c r="I89" s="860"/>
      <c r="J89" s="861"/>
      <c r="K89" s="886" t="str">
        <f t="shared" si="6"/>
        <v/>
      </c>
      <c r="L89" s="886"/>
      <c r="M89" s="725"/>
      <c r="N89" s="29"/>
      <c r="O89" s="489"/>
      <c r="P89" s="29"/>
      <c r="Q89" s="29"/>
      <c r="R89" s="29"/>
      <c r="S89" s="29"/>
      <c r="T89" s="489"/>
      <c r="U89" s="147"/>
      <c r="V89" s="147" t="str">
        <f t="shared" si="7"/>
        <v/>
      </c>
      <c r="W89" s="147" t="str">
        <f t="shared" si="8"/>
        <v/>
      </c>
      <c r="X89" s="147" t="str">
        <f t="shared" si="9"/>
        <v/>
      </c>
      <c r="Y89" s="147" t="str">
        <f t="shared" si="10"/>
        <v/>
      </c>
      <c r="Z89" s="147" t="str">
        <f t="shared" si="11"/>
        <v/>
      </c>
    </row>
    <row r="90" spans="1:26" hidden="1" x14ac:dyDescent="0.25">
      <c r="A90" s="147">
        <v>62</v>
      </c>
      <c r="B90" s="29"/>
      <c r="C90" s="29"/>
      <c r="D90" s="194" t="str" cm="1">
        <f t="array" ref="D90">IFERROR(IF(IFERROR(_xlfn.IFNA(LOOKUP(2,1/('Project SqFt'!$A$18:$A$87=B90)/('Project SqFt'!$B$18:$B$87=C90),'Project SqFt'!$D$18:$D$87),LOOKUP(2,1/('Project SqFt'!$H$18:$H$87=B90)/('Project SqFt'!$I$18:$I$87=C90),'Project SqFt'!$L$18:$L$87)),LOOKUP(2,1/('Project SqFt'!$P$18:$P$87=B90)/('Project SqFt'!$Q$18:$Q$87=C90),'Project SqFt'!$T$18:$T$87))="","",IFERROR(_xlfn.IFNA(LOOKUP(2,1/('Project SqFt'!$A$18:$A$87=B90)/('Project SqFt'!$B$18:$B$87=C90),'Project SqFt'!$D$18:$D$87),LOOKUP(2,1/('Project SqFt'!$H$18:$H$87=B90)/('Project SqFt'!$I$18:$I$87=C90),'Project SqFt'!$L$18:$L$87)),LOOKUP(2,1/('Project SqFt'!$P$18:$P$87=B90)/('Project SqFt'!$Q$18:$Q$87=C90),'Project SqFt'!$T$18:$T$87))),"")</f>
        <v/>
      </c>
      <c r="E90" s="758"/>
      <c r="F90" s="1191"/>
      <c r="G90" s="753"/>
      <c r="H90" s="753"/>
      <c r="I90" s="860"/>
      <c r="J90" s="861"/>
      <c r="K90" s="886" t="str">
        <f t="shared" si="6"/>
        <v/>
      </c>
      <c r="L90" s="886"/>
      <c r="M90" s="725"/>
      <c r="N90" s="29"/>
      <c r="O90" s="489"/>
      <c r="P90" s="29"/>
      <c r="Q90" s="29"/>
      <c r="R90" s="29"/>
      <c r="S90" s="29"/>
      <c r="T90" s="489"/>
      <c r="U90" s="147"/>
      <c r="V90" s="147" t="str">
        <f t="shared" si="7"/>
        <v/>
      </c>
      <c r="W90" s="147" t="str">
        <f t="shared" si="8"/>
        <v/>
      </c>
      <c r="X90" s="147" t="str">
        <f t="shared" si="9"/>
        <v/>
      </c>
      <c r="Y90" s="147" t="str">
        <f t="shared" si="10"/>
        <v/>
      </c>
      <c r="Z90" s="147" t="str">
        <f t="shared" si="11"/>
        <v/>
      </c>
    </row>
    <row r="91" spans="1:26" hidden="1" x14ac:dyDescent="0.25">
      <c r="A91" s="147">
        <v>63</v>
      </c>
      <c r="B91" s="29"/>
      <c r="C91" s="29"/>
      <c r="D91" s="194" t="str" cm="1">
        <f t="array" ref="D91">IFERROR(IF(IFERROR(_xlfn.IFNA(LOOKUP(2,1/('Project SqFt'!$A$18:$A$87=B91)/('Project SqFt'!$B$18:$B$87=C91),'Project SqFt'!$D$18:$D$87),LOOKUP(2,1/('Project SqFt'!$H$18:$H$87=B91)/('Project SqFt'!$I$18:$I$87=C91),'Project SqFt'!$L$18:$L$87)),LOOKUP(2,1/('Project SqFt'!$P$18:$P$87=B91)/('Project SqFt'!$Q$18:$Q$87=C91),'Project SqFt'!$T$18:$T$87))="","",IFERROR(_xlfn.IFNA(LOOKUP(2,1/('Project SqFt'!$A$18:$A$87=B91)/('Project SqFt'!$B$18:$B$87=C91),'Project SqFt'!$D$18:$D$87),LOOKUP(2,1/('Project SqFt'!$H$18:$H$87=B91)/('Project SqFt'!$I$18:$I$87=C91),'Project SqFt'!$L$18:$L$87)),LOOKUP(2,1/('Project SqFt'!$P$18:$P$87=B91)/('Project SqFt'!$Q$18:$Q$87=C91),'Project SqFt'!$T$18:$T$87))),"")</f>
        <v/>
      </c>
      <c r="E91" s="758"/>
      <c r="F91" s="1191"/>
      <c r="G91" s="753"/>
      <c r="H91" s="753"/>
      <c r="I91" s="860"/>
      <c r="J91" s="861"/>
      <c r="K91" s="886" t="str">
        <f t="shared" si="6"/>
        <v/>
      </c>
      <c r="L91" s="886"/>
      <c r="M91" s="725"/>
      <c r="N91" s="29"/>
      <c r="O91" s="489"/>
      <c r="P91" s="29"/>
      <c r="Q91" s="29"/>
      <c r="R91" s="29"/>
      <c r="S91" s="29"/>
      <c r="T91" s="489"/>
      <c r="U91" s="147"/>
      <c r="V91" s="147" t="str">
        <f t="shared" si="7"/>
        <v/>
      </c>
      <c r="W91" s="147" t="str">
        <f t="shared" si="8"/>
        <v/>
      </c>
      <c r="X91" s="147" t="str">
        <f t="shared" si="9"/>
        <v/>
      </c>
      <c r="Y91" s="147" t="str">
        <f t="shared" si="10"/>
        <v/>
      </c>
      <c r="Z91" s="147" t="str">
        <f t="shared" si="11"/>
        <v/>
      </c>
    </row>
    <row r="92" spans="1:26" hidden="1" x14ac:dyDescent="0.25">
      <c r="A92" s="147">
        <v>64</v>
      </c>
      <c r="B92" s="29"/>
      <c r="C92" s="29"/>
      <c r="D92" s="194" t="str" cm="1">
        <f t="array" ref="D92">IFERROR(IF(IFERROR(_xlfn.IFNA(LOOKUP(2,1/('Project SqFt'!$A$18:$A$87=B92)/('Project SqFt'!$B$18:$B$87=C92),'Project SqFt'!$D$18:$D$87),LOOKUP(2,1/('Project SqFt'!$H$18:$H$87=B92)/('Project SqFt'!$I$18:$I$87=C92),'Project SqFt'!$L$18:$L$87)),LOOKUP(2,1/('Project SqFt'!$P$18:$P$87=B92)/('Project SqFt'!$Q$18:$Q$87=C92),'Project SqFt'!$T$18:$T$87))="","",IFERROR(_xlfn.IFNA(LOOKUP(2,1/('Project SqFt'!$A$18:$A$87=B92)/('Project SqFt'!$B$18:$B$87=C92),'Project SqFt'!$D$18:$D$87),LOOKUP(2,1/('Project SqFt'!$H$18:$H$87=B92)/('Project SqFt'!$I$18:$I$87=C92),'Project SqFt'!$L$18:$L$87)),LOOKUP(2,1/('Project SqFt'!$P$18:$P$87=B92)/('Project SqFt'!$Q$18:$Q$87=C92),'Project SqFt'!$T$18:$T$87))),"")</f>
        <v/>
      </c>
      <c r="E92" s="758"/>
      <c r="F92" s="1191"/>
      <c r="G92" s="753"/>
      <c r="H92" s="753"/>
      <c r="I92" s="860"/>
      <c r="J92" s="861"/>
      <c r="K92" s="886" t="str">
        <f t="shared" si="6"/>
        <v/>
      </c>
      <c r="L92" s="886"/>
      <c r="M92" s="725"/>
      <c r="N92" s="29"/>
      <c r="O92" s="489"/>
      <c r="P92" s="29"/>
      <c r="Q92" s="29"/>
      <c r="R92" s="29"/>
      <c r="S92" s="29"/>
      <c r="T92" s="489"/>
      <c r="U92" s="147"/>
      <c r="V92" s="147" t="str">
        <f t="shared" si="7"/>
        <v/>
      </c>
      <c r="W92" s="147" t="str">
        <f t="shared" si="8"/>
        <v/>
      </c>
      <c r="X92" s="147" t="str">
        <f t="shared" si="9"/>
        <v/>
      </c>
      <c r="Y92" s="147" t="str">
        <f t="shared" si="10"/>
        <v/>
      </c>
      <c r="Z92" s="147" t="str">
        <f t="shared" si="11"/>
        <v/>
      </c>
    </row>
    <row r="93" spans="1:26" hidden="1" x14ac:dyDescent="0.25">
      <c r="A93" s="147">
        <v>65</v>
      </c>
      <c r="B93" s="29"/>
      <c r="C93" s="29"/>
      <c r="D93" s="194" t="str" cm="1">
        <f t="array" ref="D93">IFERROR(IF(IFERROR(_xlfn.IFNA(LOOKUP(2,1/('Project SqFt'!$A$18:$A$87=B93)/('Project SqFt'!$B$18:$B$87=C93),'Project SqFt'!$D$18:$D$87),LOOKUP(2,1/('Project SqFt'!$H$18:$H$87=B93)/('Project SqFt'!$I$18:$I$87=C93),'Project SqFt'!$L$18:$L$87)),LOOKUP(2,1/('Project SqFt'!$P$18:$P$87=B93)/('Project SqFt'!$Q$18:$Q$87=C93),'Project SqFt'!$T$18:$T$87))="","",IFERROR(_xlfn.IFNA(LOOKUP(2,1/('Project SqFt'!$A$18:$A$87=B93)/('Project SqFt'!$B$18:$B$87=C93),'Project SqFt'!$D$18:$D$87),LOOKUP(2,1/('Project SqFt'!$H$18:$H$87=B93)/('Project SqFt'!$I$18:$I$87=C93),'Project SqFt'!$L$18:$L$87)),LOOKUP(2,1/('Project SqFt'!$P$18:$P$87=B93)/('Project SqFt'!$Q$18:$Q$87=C93),'Project SqFt'!$T$18:$T$87))),"")</f>
        <v/>
      </c>
      <c r="E93" s="758"/>
      <c r="F93" s="1191"/>
      <c r="G93" s="753"/>
      <c r="H93" s="753"/>
      <c r="I93" s="860"/>
      <c r="J93" s="861"/>
      <c r="K93" s="886" t="str">
        <f t="shared" si="6"/>
        <v/>
      </c>
      <c r="L93" s="886"/>
      <c r="M93" s="725"/>
      <c r="N93" s="29"/>
      <c r="O93" s="489"/>
      <c r="P93" s="29"/>
      <c r="Q93" s="29"/>
      <c r="R93" s="29"/>
      <c r="S93" s="29"/>
      <c r="T93" s="489"/>
      <c r="U93" s="147"/>
      <c r="V93" s="147" t="str">
        <f t="shared" si="7"/>
        <v/>
      </c>
      <c r="W93" s="147" t="str">
        <f t="shared" si="8"/>
        <v/>
      </c>
      <c r="X93" s="147" t="str">
        <f t="shared" si="9"/>
        <v/>
      </c>
      <c r="Y93" s="147" t="str">
        <f t="shared" si="10"/>
        <v/>
      </c>
      <c r="Z93" s="147" t="str">
        <f t="shared" si="11"/>
        <v/>
      </c>
    </row>
    <row r="94" spans="1:26" hidden="1" x14ac:dyDescent="0.25">
      <c r="A94" s="147">
        <v>66</v>
      </c>
      <c r="B94" s="29"/>
      <c r="C94" s="29"/>
      <c r="D94" s="194" t="str" cm="1">
        <f t="array" ref="D94">IFERROR(IF(IFERROR(_xlfn.IFNA(LOOKUP(2,1/('Project SqFt'!$A$18:$A$87=B94)/('Project SqFt'!$B$18:$B$87=C94),'Project SqFt'!$D$18:$D$87),LOOKUP(2,1/('Project SqFt'!$H$18:$H$87=B94)/('Project SqFt'!$I$18:$I$87=C94),'Project SqFt'!$L$18:$L$87)),LOOKUP(2,1/('Project SqFt'!$P$18:$P$87=B94)/('Project SqFt'!$Q$18:$Q$87=C94),'Project SqFt'!$T$18:$T$87))="","",IFERROR(_xlfn.IFNA(LOOKUP(2,1/('Project SqFt'!$A$18:$A$87=B94)/('Project SqFt'!$B$18:$B$87=C94),'Project SqFt'!$D$18:$D$87),LOOKUP(2,1/('Project SqFt'!$H$18:$H$87=B94)/('Project SqFt'!$I$18:$I$87=C94),'Project SqFt'!$L$18:$L$87)),LOOKUP(2,1/('Project SqFt'!$P$18:$P$87=B94)/('Project SqFt'!$Q$18:$Q$87=C94),'Project SqFt'!$T$18:$T$87))),"")</f>
        <v/>
      </c>
      <c r="E94" s="758"/>
      <c r="F94" s="1191"/>
      <c r="G94" s="753"/>
      <c r="H94" s="753"/>
      <c r="I94" s="860"/>
      <c r="J94" s="861"/>
      <c r="K94" s="886" t="str">
        <f t="shared" si="6"/>
        <v/>
      </c>
      <c r="L94" s="886"/>
      <c r="M94" s="725"/>
      <c r="N94" s="29"/>
      <c r="O94" s="489"/>
      <c r="P94" s="29"/>
      <c r="Q94" s="29"/>
      <c r="R94" s="29"/>
      <c r="S94" s="29"/>
      <c r="T94" s="489"/>
      <c r="U94" s="147"/>
      <c r="V94" s="147" t="str">
        <f t="shared" si="7"/>
        <v/>
      </c>
      <c r="W94" s="147" t="str">
        <f t="shared" si="8"/>
        <v/>
      </c>
      <c r="X94" s="147" t="str">
        <f t="shared" si="9"/>
        <v/>
      </c>
      <c r="Y94" s="147" t="str">
        <f t="shared" si="10"/>
        <v/>
      </c>
      <c r="Z94" s="147" t="str">
        <f t="shared" si="11"/>
        <v/>
      </c>
    </row>
    <row r="95" spans="1:26" hidden="1" x14ac:dyDescent="0.25">
      <c r="A95" s="147">
        <v>67</v>
      </c>
      <c r="B95" s="29"/>
      <c r="C95" s="29"/>
      <c r="D95" s="194" t="str" cm="1">
        <f t="array" ref="D95">IFERROR(IF(IFERROR(_xlfn.IFNA(LOOKUP(2,1/('Project SqFt'!$A$18:$A$87=B95)/('Project SqFt'!$B$18:$B$87=C95),'Project SqFt'!$D$18:$D$87),LOOKUP(2,1/('Project SqFt'!$H$18:$H$87=B95)/('Project SqFt'!$I$18:$I$87=C95),'Project SqFt'!$L$18:$L$87)),LOOKUP(2,1/('Project SqFt'!$P$18:$P$87=B95)/('Project SqFt'!$Q$18:$Q$87=C95),'Project SqFt'!$T$18:$T$87))="","",IFERROR(_xlfn.IFNA(LOOKUP(2,1/('Project SqFt'!$A$18:$A$87=B95)/('Project SqFt'!$B$18:$B$87=C95),'Project SqFt'!$D$18:$D$87),LOOKUP(2,1/('Project SqFt'!$H$18:$H$87=B95)/('Project SqFt'!$I$18:$I$87=C95),'Project SqFt'!$L$18:$L$87)),LOOKUP(2,1/('Project SqFt'!$P$18:$P$87=B95)/('Project SqFt'!$Q$18:$Q$87=C95),'Project SqFt'!$T$18:$T$87))),"")</f>
        <v/>
      </c>
      <c r="E95" s="758"/>
      <c r="F95" s="1191"/>
      <c r="G95" s="753"/>
      <c r="H95" s="753"/>
      <c r="I95" s="860"/>
      <c r="J95" s="861"/>
      <c r="K95" s="886" t="str">
        <f t="shared" si="6"/>
        <v/>
      </c>
      <c r="L95" s="886"/>
      <c r="M95" s="725"/>
      <c r="N95" s="29"/>
      <c r="O95" s="489"/>
      <c r="P95" s="29"/>
      <c r="Q95" s="29"/>
      <c r="R95" s="29"/>
      <c r="S95" s="29"/>
      <c r="T95" s="489"/>
      <c r="U95" s="147"/>
      <c r="V95" s="147" t="str">
        <f t="shared" si="7"/>
        <v/>
      </c>
      <c r="W95" s="147" t="str">
        <f t="shared" si="8"/>
        <v/>
      </c>
      <c r="X95" s="147" t="str">
        <f t="shared" si="9"/>
        <v/>
      </c>
      <c r="Y95" s="147" t="str">
        <f t="shared" si="10"/>
        <v/>
      </c>
      <c r="Z95" s="147" t="str">
        <f t="shared" si="11"/>
        <v/>
      </c>
    </row>
    <row r="96" spans="1:26" hidden="1" x14ac:dyDescent="0.25">
      <c r="A96" s="147">
        <v>68</v>
      </c>
      <c r="B96" s="29"/>
      <c r="C96" s="29"/>
      <c r="D96" s="194" t="str" cm="1">
        <f t="array" ref="D96">IFERROR(IF(IFERROR(_xlfn.IFNA(LOOKUP(2,1/('Project SqFt'!$A$18:$A$87=B96)/('Project SqFt'!$B$18:$B$87=C96),'Project SqFt'!$D$18:$D$87),LOOKUP(2,1/('Project SqFt'!$H$18:$H$87=B96)/('Project SqFt'!$I$18:$I$87=C96),'Project SqFt'!$L$18:$L$87)),LOOKUP(2,1/('Project SqFt'!$P$18:$P$87=B96)/('Project SqFt'!$Q$18:$Q$87=C96),'Project SqFt'!$T$18:$T$87))="","",IFERROR(_xlfn.IFNA(LOOKUP(2,1/('Project SqFt'!$A$18:$A$87=B96)/('Project SqFt'!$B$18:$B$87=C96),'Project SqFt'!$D$18:$D$87),LOOKUP(2,1/('Project SqFt'!$H$18:$H$87=B96)/('Project SqFt'!$I$18:$I$87=C96),'Project SqFt'!$L$18:$L$87)),LOOKUP(2,1/('Project SqFt'!$P$18:$P$87=B96)/('Project SqFt'!$Q$18:$Q$87=C96),'Project SqFt'!$T$18:$T$87))),"")</f>
        <v/>
      </c>
      <c r="E96" s="758"/>
      <c r="F96" s="1191"/>
      <c r="G96" s="753"/>
      <c r="H96" s="753"/>
      <c r="I96" s="860"/>
      <c r="J96" s="861"/>
      <c r="K96" s="886" t="str">
        <f t="shared" si="6"/>
        <v/>
      </c>
      <c r="L96" s="886"/>
      <c r="M96" s="725"/>
      <c r="N96" s="29"/>
      <c r="O96" s="489"/>
      <c r="P96" s="29"/>
      <c r="Q96" s="29"/>
      <c r="R96" s="29"/>
      <c r="S96" s="29"/>
      <c r="T96" s="489"/>
      <c r="U96" s="147"/>
      <c r="V96" s="147" t="str">
        <f t="shared" si="7"/>
        <v/>
      </c>
      <c r="W96" s="147" t="str">
        <f t="shared" si="8"/>
        <v/>
      </c>
      <c r="X96" s="147" t="str">
        <f t="shared" si="9"/>
        <v/>
      </c>
      <c r="Y96" s="147" t="str">
        <f t="shared" si="10"/>
        <v/>
      </c>
      <c r="Z96" s="147" t="str">
        <f t="shared" si="11"/>
        <v/>
      </c>
    </row>
    <row r="97" spans="1:30" hidden="1" x14ac:dyDescent="0.25">
      <c r="A97" s="147">
        <v>69</v>
      </c>
      <c r="B97" s="29"/>
      <c r="C97" s="29"/>
      <c r="D97" s="194" t="str" cm="1">
        <f t="array" ref="D97">IFERROR(IF(IFERROR(_xlfn.IFNA(LOOKUP(2,1/('Project SqFt'!$A$18:$A$87=B97)/('Project SqFt'!$B$18:$B$87=C97),'Project SqFt'!$D$18:$D$87),LOOKUP(2,1/('Project SqFt'!$H$18:$H$87=B97)/('Project SqFt'!$I$18:$I$87=C97),'Project SqFt'!$L$18:$L$87)),LOOKUP(2,1/('Project SqFt'!$P$18:$P$87=B97)/('Project SqFt'!$Q$18:$Q$87=C97),'Project SqFt'!$T$18:$T$87))="","",IFERROR(_xlfn.IFNA(LOOKUP(2,1/('Project SqFt'!$A$18:$A$87=B97)/('Project SqFt'!$B$18:$B$87=C97),'Project SqFt'!$D$18:$D$87),LOOKUP(2,1/('Project SqFt'!$H$18:$H$87=B97)/('Project SqFt'!$I$18:$I$87=C97),'Project SqFt'!$L$18:$L$87)),LOOKUP(2,1/('Project SqFt'!$P$18:$P$87=B97)/('Project SqFt'!$Q$18:$Q$87=C97),'Project SqFt'!$T$18:$T$87))),"")</f>
        <v/>
      </c>
      <c r="E97" s="758"/>
      <c r="F97" s="1191"/>
      <c r="G97" s="753"/>
      <c r="H97" s="753"/>
      <c r="I97" s="860"/>
      <c r="J97" s="861"/>
      <c r="K97" s="886" t="str">
        <f t="shared" si="6"/>
        <v/>
      </c>
      <c r="L97" s="886"/>
      <c r="M97" s="725"/>
      <c r="N97" s="29"/>
      <c r="O97" s="489"/>
      <c r="P97" s="29"/>
      <c r="Q97" s="29"/>
      <c r="R97" s="29"/>
      <c r="S97" s="29"/>
      <c r="T97" s="489"/>
      <c r="U97" s="147"/>
      <c r="V97" s="147" t="str">
        <f t="shared" si="7"/>
        <v/>
      </c>
      <c r="W97" s="147" t="str">
        <f t="shared" si="8"/>
        <v/>
      </c>
      <c r="X97" s="147" t="str">
        <f t="shared" si="9"/>
        <v/>
      </c>
      <c r="Y97" s="147" t="str">
        <f t="shared" si="10"/>
        <v/>
      </c>
      <c r="Z97" s="147" t="str">
        <f t="shared" si="11"/>
        <v/>
      </c>
    </row>
    <row r="98" spans="1:30" hidden="1" x14ac:dyDescent="0.25">
      <c r="A98" s="147">
        <v>70</v>
      </c>
      <c r="B98" s="29"/>
      <c r="C98" s="29"/>
      <c r="D98" s="194" t="str" cm="1">
        <f t="array" ref="D98">IFERROR(IF(IFERROR(_xlfn.IFNA(LOOKUP(2,1/('Project SqFt'!$A$18:$A$87=B98)/('Project SqFt'!$B$18:$B$87=C98),'Project SqFt'!$D$18:$D$87),LOOKUP(2,1/('Project SqFt'!$H$18:$H$87=B98)/('Project SqFt'!$I$18:$I$87=C98),'Project SqFt'!$L$18:$L$87)),LOOKUP(2,1/('Project SqFt'!$P$18:$P$87=B98)/('Project SqFt'!$Q$18:$Q$87=C98),'Project SqFt'!$T$18:$T$87))="","",IFERROR(_xlfn.IFNA(LOOKUP(2,1/('Project SqFt'!$A$18:$A$87=B98)/('Project SqFt'!$B$18:$B$87=C98),'Project SqFt'!$D$18:$D$87),LOOKUP(2,1/('Project SqFt'!$H$18:$H$87=B98)/('Project SqFt'!$I$18:$I$87=C98),'Project SqFt'!$L$18:$L$87)),LOOKUP(2,1/('Project SqFt'!$P$18:$P$87=B98)/('Project SqFt'!$Q$18:$Q$87=C98),'Project SqFt'!$T$18:$T$87))),"")</f>
        <v/>
      </c>
      <c r="E98" s="758"/>
      <c r="F98" s="1191"/>
      <c r="G98" s="753"/>
      <c r="H98" s="753"/>
      <c r="I98" s="860"/>
      <c r="J98" s="861"/>
      <c r="K98" s="886" t="str">
        <f t="shared" si="6"/>
        <v/>
      </c>
      <c r="L98" s="886"/>
      <c r="M98" s="725"/>
      <c r="N98" s="29"/>
      <c r="O98" s="489"/>
      <c r="P98" s="29"/>
      <c r="Q98" s="29"/>
      <c r="R98" s="29"/>
      <c r="S98" s="29"/>
      <c r="T98" s="489"/>
      <c r="U98" s="147"/>
      <c r="V98" s="147" t="str">
        <f t="shared" si="7"/>
        <v/>
      </c>
      <c r="W98" s="147" t="str">
        <f t="shared" si="8"/>
        <v/>
      </c>
      <c r="X98" s="147" t="str">
        <f t="shared" si="9"/>
        <v/>
      </c>
      <c r="Y98" s="147" t="str">
        <f t="shared" si="10"/>
        <v/>
      </c>
      <c r="Z98" s="147" t="str">
        <f t="shared" si="11"/>
        <v/>
      </c>
    </row>
    <row r="99" spans="1:30" hidden="1" x14ac:dyDescent="0.25">
      <c r="A99" s="147">
        <v>71</v>
      </c>
      <c r="B99" s="29"/>
      <c r="C99" s="29"/>
      <c r="D99" s="194" t="str" cm="1">
        <f t="array" ref="D99">IFERROR(IF(IFERROR(_xlfn.IFNA(LOOKUP(2,1/('Project SqFt'!$A$18:$A$87=B99)/('Project SqFt'!$B$18:$B$87=C99),'Project SqFt'!$D$18:$D$87),LOOKUP(2,1/('Project SqFt'!$H$18:$H$87=B99)/('Project SqFt'!$I$18:$I$87=C99),'Project SqFt'!$L$18:$L$87)),LOOKUP(2,1/('Project SqFt'!$P$18:$P$87=B99)/('Project SqFt'!$Q$18:$Q$87=C99),'Project SqFt'!$T$18:$T$87))="","",IFERROR(_xlfn.IFNA(LOOKUP(2,1/('Project SqFt'!$A$18:$A$87=B99)/('Project SqFt'!$B$18:$B$87=C99),'Project SqFt'!$D$18:$D$87),LOOKUP(2,1/('Project SqFt'!$H$18:$H$87=B99)/('Project SqFt'!$I$18:$I$87=C99),'Project SqFt'!$L$18:$L$87)),LOOKUP(2,1/('Project SqFt'!$P$18:$P$87=B99)/('Project SqFt'!$Q$18:$Q$87=C99),'Project SqFt'!$T$18:$T$87))),"")</f>
        <v/>
      </c>
      <c r="E99" s="758"/>
      <c r="F99" s="1191"/>
      <c r="G99" s="753"/>
      <c r="H99" s="753"/>
      <c r="I99" s="860"/>
      <c r="J99" s="861"/>
      <c r="K99" s="886" t="str">
        <f t="shared" si="6"/>
        <v/>
      </c>
      <c r="L99" s="886"/>
      <c r="M99" s="725"/>
      <c r="N99" s="29"/>
      <c r="O99" s="489"/>
      <c r="P99" s="29"/>
      <c r="Q99" s="29"/>
      <c r="R99" s="29"/>
      <c r="S99" s="29"/>
      <c r="T99" s="489"/>
      <c r="U99" s="147"/>
      <c r="V99" s="147" t="str">
        <f t="shared" si="7"/>
        <v/>
      </c>
      <c r="W99" s="147" t="str">
        <f t="shared" si="8"/>
        <v/>
      </c>
      <c r="X99" s="147" t="str">
        <f t="shared" si="9"/>
        <v/>
      </c>
      <c r="Y99" s="147" t="str">
        <f t="shared" si="10"/>
        <v/>
      </c>
      <c r="Z99" s="147" t="str">
        <f t="shared" si="11"/>
        <v/>
      </c>
    </row>
    <row r="100" spans="1:30" hidden="1" x14ac:dyDescent="0.25">
      <c r="A100" s="147">
        <v>72</v>
      </c>
      <c r="B100" s="29"/>
      <c r="C100" s="29"/>
      <c r="D100" s="194" t="str" cm="1">
        <f t="array" ref="D100">IFERROR(IF(IFERROR(_xlfn.IFNA(LOOKUP(2,1/('Project SqFt'!$A$18:$A$87=B100)/('Project SqFt'!$B$18:$B$87=C100),'Project SqFt'!$D$18:$D$87),LOOKUP(2,1/('Project SqFt'!$H$18:$H$87=B100)/('Project SqFt'!$I$18:$I$87=C100),'Project SqFt'!$L$18:$L$87)),LOOKUP(2,1/('Project SqFt'!$P$18:$P$87=B100)/('Project SqFt'!$Q$18:$Q$87=C100),'Project SqFt'!$T$18:$T$87))="","",IFERROR(_xlfn.IFNA(LOOKUP(2,1/('Project SqFt'!$A$18:$A$87=B100)/('Project SqFt'!$B$18:$B$87=C100),'Project SqFt'!$D$18:$D$87),LOOKUP(2,1/('Project SqFt'!$H$18:$H$87=B100)/('Project SqFt'!$I$18:$I$87=C100),'Project SqFt'!$L$18:$L$87)),LOOKUP(2,1/('Project SqFt'!$P$18:$P$87=B100)/('Project SqFt'!$Q$18:$Q$87=C100),'Project SqFt'!$T$18:$T$87))),"")</f>
        <v/>
      </c>
      <c r="E100" s="758"/>
      <c r="F100" s="1191"/>
      <c r="G100" s="753"/>
      <c r="H100" s="753"/>
      <c r="I100" s="860"/>
      <c r="J100" s="861"/>
      <c r="K100" s="886" t="str">
        <f t="shared" si="6"/>
        <v/>
      </c>
      <c r="L100" s="886"/>
      <c r="M100" s="725"/>
      <c r="N100" s="29"/>
      <c r="O100" s="489"/>
      <c r="P100" s="29"/>
      <c r="Q100" s="29"/>
      <c r="R100" s="29"/>
      <c r="S100" s="29"/>
      <c r="T100" s="489"/>
      <c r="U100" s="147"/>
      <c r="V100" s="147" t="str">
        <f t="shared" si="7"/>
        <v/>
      </c>
      <c r="W100" s="147" t="str">
        <f t="shared" si="8"/>
        <v/>
      </c>
      <c r="X100" s="147" t="str">
        <f t="shared" si="9"/>
        <v/>
      </c>
      <c r="Y100" s="147" t="str">
        <f t="shared" si="10"/>
        <v/>
      </c>
      <c r="Z100" s="147" t="str">
        <f t="shared" si="11"/>
        <v/>
      </c>
    </row>
    <row r="101" spans="1:30" hidden="1" x14ac:dyDescent="0.25">
      <c r="A101" s="147">
        <v>73</v>
      </c>
      <c r="B101" s="29"/>
      <c r="C101" s="29"/>
      <c r="D101" s="194" t="str" cm="1">
        <f t="array" ref="D101">IFERROR(IF(IFERROR(_xlfn.IFNA(LOOKUP(2,1/('Project SqFt'!$A$18:$A$87=B101)/('Project SqFt'!$B$18:$B$87=C101),'Project SqFt'!$D$18:$D$87),LOOKUP(2,1/('Project SqFt'!$H$18:$H$87=B101)/('Project SqFt'!$I$18:$I$87=C101),'Project SqFt'!$L$18:$L$87)),LOOKUP(2,1/('Project SqFt'!$P$18:$P$87=B101)/('Project SqFt'!$Q$18:$Q$87=C101),'Project SqFt'!$T$18:$T$87))="","",IFERROR(_xlfn.IFNA(LOOKUP(2,1/('Project SqFt'!$A$18:$A$87=B101)/('Project SqFt'!$B$18:$B$87=C101),'Project SqFt'!$D$18:$D$87),LOOKUP(2,1/('Project SqFt'!$H$18:$H$87=B101)/('Project SqFt'!$I$18:$I$87=C101),'Project SqFt'!$L$18:$L$87)),LOOKUP(2,1/('Project SqFt'!$P$18:$P$87=B101)/('Project SqFt'!$Q$18:$Q$87=C101),'Project SqFt'!$T$18:$T$87))),"")</f>
        <v/>
      </c>
      <c r="E101" s="758"/>
      <c r="F101" s="1191"/>
      <c r="G101" s="753"/>
      <c r="H101" s="753"/>
      <c r="I101" s="860"/>
      <c r="J101" s="861"/>
      <c r="K101" s="886" t="str">
        <f t="shared" si="6"/>
        <v/>
      </c>
      <c r="L101" s="886"/>
      <c r="M101" s="725"/>
      <c r="N101" s="29"/>
      <c r="O101" s="489"/>
      <c r="P101" s="29"/>
      <c r="Q101" s="29"/>
      <c r="R101" s="29"/>
      <c r="S101" s="29"/>
      <c r="T101" s="489"/>
      <c r="U101" s="147"/>
      <c r="V101" s="147" t="str">
        <f t="shared" si="7"/>
        <v/>
      </c>
      <c r="W101" s="147" t="str">
        <f t="shared" si="8"/>
        <v/>
      </c>
      <c r="X101" s="147" t="str">
        <f t="shared" si="9"/>
        <v/>
      </c>
      <c r="Y101" s="147" t="str">
        <f t="shared" si="10"/>
        <v/>
      </c>
      <c r="Z101" s="147" t="str">
        <f t="shared" si="11"/>
        <v/>
      </c>
    </row>
    <row r="102" spans="1:30" hidden="1" x14ac:dyDescent="0.25">
      <c r="A102" s="147">
        <v>74</v>
      </c>
      <c r="B102" s="29"/>
      <c r="C102" s="29"/>
      <c r="D102" s="194" t="str" cm="1">
        <f t="array" ref="D102">IFERROR(IF(IFERROR(_xlfn.IFNA(LOOKUP(2,1/('Project SqFt'!$A$18:$A$87=B102)/('Project SqFt'!$B$18:$B$87=C102),'Project SqFt'!$D$18:$D$87),LOOKUP(2,1/('Project SqFt'!$H$18:$H$87=B102)/('Project SqFt'!$I$18:$I$87=C102),'Project SqFt'!$L$18:$L$87)),LOOKUP(2,1/('Project SqFt'!$P$18:$P$87=B102)/('Project SqFt'!$Q$18:$Q$87=C102),'Project SqFt'!$T$18:$T$87))="","",IFERROR(_xlfn.IFNA(LOOKUP(2,1/('Project SqFt'!$A$18:$A$87=B102)/('Project SqFt'!$B$18:$B$87=C102),'Project SqFt'!$D$18:$D$87),LOOKUP(2,1/('Project SqFt'!$H$18:$H$87=B102)/('Project SqFt'!$I$18:$I$87=C102),'Project SqFt'!$L$18:$L$87)),LOOKUP(2,1/('Project SqFt'!$P$18:$P$87=B102)/('Project SqFt'!$Q$18:$Q$87=C102),'Project SqFt'!$T$18:$T$87))),"")</f>
        <v/>
      </c>
      <c r="E102" s="758"/>
      <c r="F102" s="1191"/>
      <c r="G102" s="753"/>
      <c r="H102" s="753"/>
      <c r="I102" s="860"/>
      <c r="J102" s="861"/>
      <c r="K102" s="886" t="str">
        <f t="shared" si="6"/>
        <v/>
      </c>
      <c r="L102" s="886"/>
      <c r="M102" s="725"/>
      <c r="N102" s="29"/>
      <c r="O102" s="489"/>
      <c r="P102" s="29"/>
      <c r="Q102" s="29"/>
      <c r="R102" s="29"/>
      <c r="S102" s="29"/>
      <c r="T102" s="489"/>
      <c r="U102" s="147"/>
      <c r="V102" s="147" t="str">
        <f t="shared" si="7"/>
        <v/>
      </c>
      <c r="W102" s="147" t="str">
        <f t="shared" si="8"/>
        <v/>
      </c>
      <c r="X102" s="147" t="str">
        <f t="shared" si="9"/>
        <v/>
      </c>
      <c r="Y102" s="147" t="str">
        <f t="shared" si="10"/>
        <v/>
      </c>
      <c r="Z102" s="147" t="str">
        <f t="shared" si="11"/>
        <v/>
      </c>
    </row>
    <row r="103" spans="1:30" hidden="1" x14ac:dyDescent="0.25">
      <c r="A103" s="147">
        <v>75</v>
      </c>
      <c r="B103" s="29"/>
      <c r="C103" s="29"/>
      <c r="D103" s="194" t="str" cm="1">
        <f t="array" ref="D103">IFERROR(IF(IFERROR(_xlfn.IFNA(LOOKUP(2,1/('Project SqFt'!$A$18:$A$87=B103)/('Project SqFt'!$B$18:$B$87=C103),'Project SqFt'!$D$18:$D$87),LOOKUP(2,1/('Project SqFt'!$H$18:$H$87=B103)/('Project SqFt'!$I$18:$I$87=C103),'Project SqFt'!$L$18:$L$87)),LOOKUP(2,1/('Project SqFt'!$P$18:$P$87=B103)/('Project SqFt'!$Q$18:$Q$87=C103),'Project SqFt'!$T$18:$T$87))="","",IFERROR(_xlfn.IFNA(LOOKUP(2,1/('Project SqFt'!$A$18:$A$87=B103)/('Project SqFt'!$B$18:$B$87=C103),'Project SqFt'!$D$18:$D$87),LOOKUP(2,1/('Project SqFt'!$H$18:$H$87=B103)/('Project SqFt'!$I$18:$I$87=C103),'Project SqFt'!$L$18:$L$87)),LOOKUP(2,1/('Project SqFt'!$P$18:$P$87=B103)/('Project SqFt'!$Q$18:$Q$87=C103),'Project SqFt'!$T$18:$T$87))),"")</f>
        <v/>
      </c>
      <c r="E103" s="758"/>
      <c r="F103" s="1191"/>
      <c r="G103" s="753"/>
      <c r="H103" s="753"/>
      <c r="I103" s="860"/>
      <c r="J103" s="861"/>
      <c r="K103" s="886" t="str">
        <f t="shared" si="6"/>
        <v/>
      </c>
      <c r="L103" s="886"/>
      <c r="M103" s="725"/>
      <c r="N103" s="29"/>
      <c r="O103" s="489"/>
      <c r="P103" s="29"/>
      <c r="Q103" s="29"/>
      <c r="R103" s="29"/>
      <c r="S103" s="29"/>
      <c r="T103" s="489"/>
      <c r="U103" s="147"/>
      <c r="V103" s="147" t="str">
        <f t="shared" si="7"/>
        <v/>
      </c>
      <c r="W103" s="147" t="str">
        <f t="shared" si="8"/>
        <v/>
      </c>
      <c r="X103" s="147" t="str">
        <f t="shared" si="9"/>
        <v/>
      </c>
      <c r="Y103" s="147" t="str">
        <f t="shared" si="10"/>
        <v/>
      </c>
      <c r="Z103" s="147" t="str">
        <f t="shared" si="11"/>
        <v/>
      </c>
    </row>
    <row r="104" spans="1:30" hidden="1" x14ac:dyDescent="0.25">
      <c r="A104" s="147">
        <v>76</v>
      </c>
      <c r="B104" s="29"/>
      <c r="C104" s="29"/>
      <c r="D104" s="194" t="str" cm="1">
        <f t="array" ref="D104">IFERROR(IF(IFERROR(_xlfn.IFNA(LOOKUP(2,1/('Project SqFt'!$A$18:$A$87=B104)/('Project SqFt'!$B$18:$B$87=C104),'Project SqFt'!$D$18:$D$87),LOOKUP(2,1/('Project SqFt'!$H$18:$H$87=B104)/('Project SqFt'!$I$18:$I$87=C104),'Project SqFt'!$L$18:$L$87)),LOOKUP(2,1/('Project SqFt'!$P$18:$P$87=B104)/('Project SqFt'!$Q$18:$Q$87=C104),'Project SqFt'!$T$18:$T$87))="","",IFERROR(_xlfn.IFNA(LOOKUP(2,1/('Project SqFt'!$A$18:$A$87=B104)/('Project SqFt'!$B$18:$B$87=C104),'Project SqFt'!$D$18:$D$87),LOOKUP(2,1/('Project SqFt'!$H$18:$H$87=B104)/('Project SqFt'!$I$18:$I$87=C104),'Project SqFt'!$L$18:$L$87)),LOOKUP(2,1/('Project SqFt'!$P$18:$P$87=B104)/('Project SqFt'!$Q$18:$Q$87=C104),'Project SqFt'!$T$18:$T$87))),"")</f>
        <v/>
      </c>
      <c r="E104" s="758"/>
      <c r="F104" s="1191"/>
      <c r="G104" s="753"/>
      <c r="H104" s="753"/>
      <c r="I104" s="860"/>
      <c r="J104" s="861"/>
      <c r="K104" s="886" t="str">
        <f t="shared" si="6"/>
        <v/>
      </c>
      <c r="L104" s="886"/>
      <c r="M104" s="725"/>
      <c r="N104" s="29"/>
      <c r="O104" s="489"/>
      <c r="P104" s="29"/>
      <c r="Q104" s="29"/>
      <c r="R104" s="29"/>
      <c r="S104" s="29"/>
      <c r="T104" s="489"/>
      <c r="U104" s="147"/>
      <c r="V104" s="147" t="str">
        <f t="shared" si="7"/>
        <v/>
      </c>
      <c r="W104" s="147" t="str">
        <f t="shared" si="8"/>
        <v/>
      </c>
      <c r="X104" s="147" t="str">
        <f t="shared" si="9"/>
        <v/>
      </c>
      <c r="Y104" s="147" t="str">
        <f t="shared" si="10"/>
        <v/>
      </c>
      <c r="Z104" s="147" t="str">
        <f t="shared" si="11"/>
        <v/>
      </c>
    </row>
    <row r="105" spans="1:30" hidden="1" x14ac:dyDescent="0.25">
      <c r="A105" s="147">
        <v>77</v>
      </c>
      <c r="B105" s="29"/>
      <c r="C105" s="29"/>
      <c r="D105" s="194" t="str" cm="1">
        <f t="array" ref="D105">IFERROR(IF(IFERROR(_xlfn.IFNA(LOOKUP(2,1/('Project SqFt'!$A$18:$A$87=B105)/('Project SqFt'!$B$18:$B$87=C105),'Project SqFt'!$D$18:$D$87),LOOKUP(2,1/('Project SqFt'!$H$18:$H$87=B105)/('Project SqFt'!$I$18:$I$87=C105),'Project SqFt'!$L$18:$L$87)),LOOKUP(2,1/('Project SqFt'!$P$18:$P$87=B105)/('Project SqFt'!$Q$18:$Q$87=C105),'Project SqFt'!$T$18:$T$87))="","",IFERROR(_xlfn.IFNA(LOOKUP(2,1/('Project SqFt'!$A$18:$A$87=B105)/('Project SqFt'!$B$18:$B$87=C105),'Project SqFt'!$D$18:$D$87),LOOKUP(2,1/('Project SqFt'!$H$18:$H$87=B105)/('Project SqFt'!$I$18:$I$87=C105),'Project SqFt'!$L$18:$L$87)),LOOKUP(2,1/('Project SqFt'!$P$18:$P$87=B105)/('Project SqFt'!$Q$18:$Q$87=C105),'Project SqFt'!$T$18:$T$87))),"")</f>
        <v/>
      </c>
      <c r="E105" s="758"/>
      <c r="F105" s="1191"/>
      <c r="G105" s="753"/>
      <c r="H105" s="753"/>
      <c r="I105" s="860"/>
      <c r="J105" s="861"/>
      <c r="K105" s="886" t="str">
        <f t="shared" si="6"/>
        <v/>
      </c>
      <c r="L105" s="886"/>
      <c r="M105" s="725"/>
      <c r="N105" s="29"/>
      <c r="O105" s="489"/>
      <c r="P105" s="29"/>
      <c r="Q105" s="29"/>
      <c r="R105" s="29"/>
      <c r="S105" s="29"/>
      <c r="T105" s="489"/>
      <c r="U105" s="147"/>
      <c r="V105" s="147" t="str">
        <f t="shared" si="7"/>
        <v/>
      </c>
      <c r="W105" s="147" t="str">
        <f t="shared" si="8"/>
        <v/>
      </c>
      <c r="X105" s="147" t="str">
        <f t="shared" si="9"/>
        <v/>
      </c>
      <c r="Y105" s="147" t="str">
        <f t="shared" si="10"/>
        <v/>
      </c>
      <c r="Z105" s="147" t="str">
        <f t="shared" si="11"/>
        <v/>
      </c>
    </row>
    <row r="106" spans="1:30" hidden="1" x14ac:dyDescent="0.25">
      <c r="A106" s="147">
        <v>78</v>
      </c>
      <c r="B106" s="29"/>
      <c r="C106" s="29"/>
      <c r="D106" s="194" t="str" cm="1">
        <f t="array" ref="D106">IFERROR(IF(IFERROR(_xlfn.IFNA(LOOKUP(2,1/('Project SqFt'!$A$18:$A$87=B106)/('Project SqFt'!$B$18:$B$87=C106),'Project SqFt'!$D$18:$D$87),LOOKUP(2,1/('Project SqFt'!$H$18:$H$87=B106)/('Project SqFt'!$I$18:$I$87=C106),'Project SqFt'!$L$18:$L$87)),LOOKUP(2,1/('Project SqFt'!$P$18:$P$87=B106)/('Project SqFt'!$Q$18:$Q$87=C106),'Project SqFt'!$T$18:$T$87))="","",IFERROR(_xlfn.IFNA(LOOKUP(2,1/('Project SqFt'!$A$18:$A$87=B106)/('Project SqFt'!$B$18:$B$87=C106),'Project SqFt'!$D$18:$D$87),LOOKUP(2,1/('Project SqFt'!$H$18:$H$87=B106)/('Project SqFt'!$I$18:$I$87=C106),'Project SqFt'!$L$18:$L$87)),LOOKUP(2,1/('Project SqFt'!$P$18:$P$87=B106)/('Project SqFt'!$Q$18:$Q$87=C106),'Project SqFt'!$T$18:$T$87))),"")</f>
        <v/>
      </c>
      <c r="E106" s="758"/>
      <c r="F106" s="1191"/>
      <c r="G106" s="753"/>
      <c r="H106" s="753"/>
      <c r="I106" s="860"/>
      <c r="J106" s="861"/>
      <c r="K106" s="886" t="str">
        <f t="shared" si="6"/>
        <v/>
      </c>
      <c r="L106" s="886"/>
      <c r="M106" s="725"/>
      <c r="N106" s="29"/>
      <c r="O106" s="489"/>
      <c r="P106" s="29"/>
      <c r="Q106" s="29"/>
      <c r="R106" s="29"/>
      <c r="S106" s="29"/>
      <c r="T106" s="489"/>
      <c r="U106" s="147"/>
      <c r="V106" s="147" t="str">
        <f t="shared" si="7"/>
        <v/>
      </c>
      <c r="W106" s="147" t="str">
        <f t="shared" si="8"/>
        <v/>
      </c>
      <c r="X106" s="147" t="str">
        <f t="shared" si="9"/>
        <v/>
      </c>
      <c r="Y106" s="147" t="str">
        <f t="shared" si="10"/>
        <v/>
      </c>
      <c r="Z106" s="147" t="str">
        <f t="shared" si="11"/>
        <v/>
      </c>
    </row>
    <row r="107" spans="1:30" hidden="1" x14ac:dyDescent="0.25">
      <c r="A107" s="147">
        <v>79</v>
      </c>
      <c r="B107" s="29"/>
      <c r="C107" s="29"/>
      <c r="D107" s="194" t="str" cm="1">
        <f t="array" ref="D107">IFERROR(IF(IFERROR(_xlfn.IFNA(LOOKUP(2,1/('Project SqFt'!$A$18:$A$87=B107)/('Project SqFt'!$B$18:$B$87=C107),'Project SqFt'!$D$18:$D$87),LOOKUP(2,1/('Project SqFt'!$H$18:$H$87=B107)/('Project SqFt'!$I$18:$I$87=C107),'Project SqFt'!$L$18:$L$87)),LOOKUP(2,1/('Project SqFt'!$P$18:$P$87=B107)/('Project SqFt'!$Q$18:$Q$87=C107),'Project SqFt'!$T$18:$T$87))="","",IFERROR(_xlfn.IFNA(LOOKUP(2,1/('Project SqFt'!$A$18:$A$87=B107)/('Project SqFt'!$B$18:$B$87=C107),'Project SqFt'!$D$18:$D$87),LOOKUP(2,1/('Project SqFt'!$H$18:$H$87=B107)/('Project SqFt'!$I$18:$I$87=C107),'Project SqFt'!$L$18:$L$87)),LOOKUP(2,1/('Project SqFt'!$P$18:$P$87=B107)/('Project SqFt'!$Q$18:$Q$87=C107),'Project SqFt'!$T$18:$T$87))),"")</f>
        <v/>
      </c>
      <c r="E107" s="758"/>
      <c r="F107" s="1191"/>
      <c r="G107" s="753"/>
      <c r="H107" s="753"/>
      <c r="I107" s="860"/>
      <c r="J107" s="861"/>
      <c r="K107" s="886" t="str">
        <f t="shared" si="6"/>
        <v/>
      </c>
      <c r="L107" s="886"/>
      <c r="M107" s="725"/>
      <c r="N107" s="29"/>
      <c r="O107" s="489"/>
      <c r="P107" s="29"/>
      <c r="Q107" s="29"/>
      <c r="R107" s="29"/>
      <c r="S107" s="29"/>
      <c r="T107" s="489"/>
      <c r="U107" s="147"/>
      <c r="V107" s="147" t="str">
        <f t="shared" si="7"/>
        <v/>
      </c>
      <c r="W107" s="147" t="str">
        <f t="shared" si="8"/>
        <v/>
      </c>
      <c r="X107" s="147" t="str">
        <f t="shared" si="9"/>
        <v/>
      </c>
      <c r="Y107" s="147" t="str">
        <f t="shared" si="10"/>
        <v/>
      </c>
      <c r="Z107" s="147" t="str">
        <f t="shared" si="11"/>
        <v/>
      </c>
    </row>
    <row r="108" spans="1:30" hidden="1" x14ac:dyDescent="0.25">
      <c r="A108" s="147">
        <v>80</v>
      </c>
      <c r="B108" s="29"/>
      <c r="C108" s="29"/>
      <c r="D108" s="194" t="str" cm="1">
        <f t="array" ref="D108">IFERROR(IF(IFERROR(_xlfn.IFNA(LOOKUP(2,1/('Project SqFt'!$A$18:$A$87=B108)/('Project SqFt'!$B$18:$B$87=C108),'Project SqFt'!$D$18:$D$87),LOOKUP(2,1/('Project SqFt'!$H$18:$H$87=B108)/('Project SqFt'!$I$18:$I$87=C108),'Project SqFt'!$L$18:$L$87)),LOOKUP(2,1/('Project SqFt'!$P$18:$P$87=B108)/('Project SqFt'!$Q$18:$Q$87=C108),'Project SqFt'!$T$18:$T$87))="","",IFERROR(_xlfn.IFNA(LOOKUP(2,1/('Project SqFt'!$A$18:$A$87=B108)/('Project SqFt'!$B$18:$B$87=C108),'Project SqFt'!$D$18:$D$87),LOOKUP(2,1/('Project SqFt'!$H$18:$H$87=B108)/('Project SqFt'!$I$18:$I$87=C108),'Project SqFt'!$L$18:$L$87)),LOOKUP(2,1/('Project SqFt'!$P$18:$P$87=B108)/('Project SqFt'!$Q$18:$Q$87=C108),'Project SqFt'!$T$18:$T$87))),"")</f>
        <v/>
      </c>
      <c r="E108" s="758"/>
      <c r="F108" s="1191"/>
      <c r="G108" s="753"/>
      <c r="H108" s="753"/>
      <c r="I108" s="860"/>
      <c r="J108" s="861"/>
      <c r="K108" s="886" t="str">
        <f t="shared" si="6"/>
        <v/>
      </c>
      <c r="L108" s="886"/>
      <c r="M108" s="725"/>
      <c r="N108" s="29"/>
      <c r="O108" s="489"/>
      <c r="P108" s="29"/>
      <c r="Q108" s="29"/>
      <c r="R108" s="29"/>
      <c r="S108" s="29"/>
      <c r="T108" s="489"/>
      <c r="U108" s="147"/>
      <c r="V108" s="147" t="str">
        <f t="shared" si="7"/>
        <v/>
      </c>
      <c r="W108" s="147" t="str">
        <f t="shared" si="8"/>
        <v/>
      </c>
      <c r="X108" s="147" t="str">
        <f t="shared" si="9"/>
        <v/>
      </c>
      <c r="Y108" s="147" t="str">
        <f t="shared" si="10"/>
        <v/>
      </c>
      <c r="Z108" s="147" t="str">
        <f t="shared" si="11"/>
        <v/>
      </c>
    </row>
    <row r="109" spans="1:30" hidden="1" x14ac:dyDescent="0.25">
      <c r="A109" s="646"/>
      <c r="B109" s="646"/>
      <c r="C109" s="646"/>
      <c r="D109" s="646"/>
      <c r="E109" s="646"/>
      <c r="F109" s="646"/>
      <c r="G109" s="646"/>
      <c r="H109" s="646"/>
      <c r="I109" s="646"/>
      <c r="J109" s="646"/>
      <c r="K109" s="646"/>
      <c r="L109" s="646"/>
      <c r="M109" s="646"/>
      <c r="N109" s="646"/>
      <c r="O109" s="646"/>
      <c r="P109" s="646"/>
      <c r="Q109" s="646"/>
      <c r="R109" s="646"/>
      <c r="S109" s="646"/>
      <c r="T109" s="646"/>
    </row>
    <row r="110" spans="1:30" ht="15.75" thickBot="1" x14ac:dyDescent="0.3">
      <c r="V110" s="879" t="s">
        <v>952</v>
      </c>
      <c r="W110" s="879"/>
      <c r="X110" s="879"/>
      <c r="Y110" s="879"/>
      <c r="Z110" s="879"/>
      <c r="AA110" s="879"/>
      <c r="AB110" s="879"/>
      <c r="AC110" s="879"/>
      <c r="AD110" s="879"/>
    </row>
    <row r="111" spans="1:30" ht="15" customHeight="1" thickBot="1" x14ac:dyDescent="0.3">
      <c r="V111" s="525" t="s">
        <v>956</v>
      </c>
      <c r="W111" s="515">
        <v>1</v>
      </c>
      <c r="X111" s="515">
        <v>2</v>
      </c>
      <c r="Y111" s="515">
        <v>3</v>
      </c>
      <c r="Z111" s="515">
        <v>4</v>
      </c>
      <c r="AA111" s="515">
        <v>5</v>
      </c>
      <c r="AB111" s="515">
        <v>6</v>
      </c>
      <c r="AC111" s="515">
        <v>7</v>
      </c>
      <c r="AD111" s="516" t="s">
        <v>917</v>
      </c>
    </row>
    <row r="112" spans="1:30" ht="15" customHeight="1" x14ac:dyDescent="0.25">
      <c r="U112" s="1188" t="s">
        <v>942</v>
      </c>
      <c r="V112" s="194">
        <v>30</v>
      </c>
      <c r="W112" s="433" t="e">
        <f ca="1">MROUND((($Z112*0.7)+24),50)</f>
        <v>#N/A</v>
      </c>
      <c r="X112" s="433" t="e">
        <f ca="1">MROUND((($Z112*0.8)+24),50)</f>
        <v>#N/A</v>
      </c>
      <c r="Y112" s="433" t="e">
        <f ca="1">MROUND((($Z112*0.9)+24),50)</f>
        <v>#N/A</v>
      </c>
      <c r="Z112" s="433" t="e">
        <f ca="1">MROUND((($Z$113*0.6)),50)</f>
        <v>#N/A</v>
      </c>
      <c r="AA112" s="433" t="e">
        <f ca="1">MROUND((($Z112*1.08)+24),50)</f>
        <v>#N/A</v>
      </c>
      <c r="AB112" s="433" t="e">
        <f ca="1">MROUND((($Z112*1.16)+24),50)</f>
        <v>#N/A</v>
      </c>
      <c r="AC112" s="433" t="e">
        <f ca="1">MROUND((($Z112*1.24)+24),50)</f>
        <v>#N/A</v>
      </c>
      <c r="AD112" s="517" t="e">
        <f ca="1">MROUND((($Z112*1.32)+24),50)</f>
        <v>#N/A</v>
      </c>
    </row>
    <row r="113" spans="21:31" x14ac:dyDescent="0.25">
      <c r="U113" s="1192"/>
      <c r="V113" s="194">
        <v>50</v>
      </c>
      <c r="W113" s="433" t="e">
        <f ca="1">MROUND((($Z113*0.7)+24),50)</f>
        <v>#N/A</v>
      </c>
      <c r="X113" s="433" t="e">
        <f ca="1">MROUND((($Z113*0.8)+24),50)</f>
        <v>#N/A</v>
      </c>
      <c r="Y113" s="433" t="e">
        <f ca="1">MROUND((($Z113*0.9)+24),50)</f>
        <v>#N/A</v>
      </c>
      <c r="Z113" s="433" t="e">
        <f ca="1">VLOOKUP('Project Summary'!$C$13,INDIRECT("'"&amp;$V$24&amp;"'!$A$4:$B$56"),2,FALSE)</f>
        <v>#N/A</v>
      </c>
      <c r="AA113" s="433" t="e">
        <f ca="1">MROUND((($Z113*1.08)+24),50)</f>
        <v>#N/A</v>
      </c>
      <c r="AB113" s="433" t="e">
        <f ca="1">MROUND((($Z113*1.16)+24),50)</f>
        <v>#N/A</v>
      </c>
      <c r="AC113" s="433" t="e">
        <f ca="1">MROUND((($Z113*1.24)+24),50)</f>
        <v>#N/A</v>
      </c>
      <c r="AD113" s="517" t="e">
        <f ca="1">MROUND((($Z113*1.32)+24),50)</f>
        <v>#N/A</v>
      </c>
    </row>
    <row r="114" spans="21:31" x14ac:dyDescent="0.25">
      <c r="U114" s="1192"/>
      <c r="V114" s="194">
        <v>60</v>
      </c>
      <c r="W114" s="433" t="e">
        <f t="shared" ref="W114:W115" ca="1" si="12">MROUND((($Z114*0.7)+24),50)</f>
        <v>#N/A</v>
      </c>
      <c r="X114" s="433" t="e">
        <f t="shared" ref="X114:X115" ca="1" si="13">MROUND((($Z114*0.8)+24),50)</f>
        <v>#N/A</v>
      </c>
      <c r="Y114" s="433" t="e">
        <f t="shared" ref="Y114:Y115" ca="1" si="14">MROUND((($Z114*0.9)+24),50)</f>
        <v>#N/A</v>
      </c>
      <c r="Z114" s="433" t="e">
        <f ca="1">MROUND((($Z$113*1.2)),60)</f>
        <v>#N/A</v>
      </c>
      <c r="AA114" s="433" t="e">
        <f t="shared" ref="AA114:AA115" ca="1" si="15">MROUND((($Z114*1.08)+24),50)</f>
        <v>#N/A</v>
      </c>
      <c r="AB114" s="433" t="e">
        <f t="shared" ref="AB114:AB115" ca="1" si="16">MROUND((($Z114*1.16)+24),50)</f>
        <v>#N/A</v>
      </c>
      <c r="AC114" s="433" t="e">
        <f t="shared" ref="AC114:AC115" ca="1" si="17">MROUND((($Z114*1.24)+24),50)</f>
        <v>#N/A</v>
      </c>
      <c r="AD114" s="517" t="e">
        <f t="shared" ref="AD114:AD115" ca="1" si="18">MROUND((($Z114*1.32)+24),50)</f>
        <v>#N/A</v>
      </c>
    </row>
    <row r="115" spans="21:31" ht="15.75" thickBot="1" x14ac:dyDescent="0.3">
      <c r="U115" s="1189"/>
      <c r="V115" s="518">
        <v>80</v>
      </c>
      <c r="W115" s="519" t="e">
        <f t="shared" ca="1" si="12"/>
        <v>#N/A</v>
      </c>
      <c r="X115" s="519" t="e">
        <f t="shared" ca="1" si="13"/>
        <v>#N/A</v>
      </c>
      <c r="Y115" s="519" t="e">
        <f t="shared" ca="1" si="14"/>
        <v>#N/A</v>
      </c>
      <c r="Z115" s="519" t="e">
        <f ca="1">MIN(MROUND((($Z$113*1.6)),50),INDIRECT("'"&amp;$V$24&amp;"'!$C$60"))</f>
        <v>#N/A</v>
      </c>
      <c r="AA115" s="519" t="e">
        <f t="shared" ca="1" si="15"/>
        <v>#N/A</v>
      </c>
      <c r="AB115" s="519" t="e">
        <f t="shared" ca="1" si="16"/>
        <v>#N/A</v>
      </c>
      <c r="AC115" s="519" t="e">
        <f t="shared" ca="1" si="17"/>
        <v>#N/A</v>
      </c>
      <c r="AD115" s="520" t="e">
        <f t="shared" ca="1" si="18"/>
        <v>#N/A</v>
      </c>
    </row>
    <row r="116" spans="21:31" ht="15.75" thickBot="1" x14ac:dyDescent="0.3">
      <c r="V116" s="300"/>
      <c r="W116" s="319"/>
      <c r="X116" s="319"/>
      <c r="Y116" s="319"/>
      <c r="Z116" s="319"/>
      <c r="AA116" s="319"/>
      <c r="AB116" s="319"/>
      <c r="AC116" s="319"/>
      <c r="AD116" s="319"/>
    </row>
    <row r="117" spans="21:31" ht="15" customHeight="1" thickBot="1" x14ac:dyDescent="0.3">
      <c r="V117" s="525" t="s">
        <v>957</v>
      </c>
      <c r="W117" s="521" t="s">
        <v>57</v>
      </c>
      <c r="X117" s="522">
        <v>1</v>
      </c>
      <c r="Y117" s="522">
        <v>2</v>
      </c>
      <c r="Z117" s="522">
        <v>3</v>
      </c>
      <c r="AA117" s="523">
        <v>4</v>
      </c>
      <c r="AB117" s="319"/>
      <c r="AC117" s="319"/>
      <c r="AD117" s="319"/>
    </row>
    <row r="118" spans="21:31" ht="15" customHeight="1" x14ac:dyDescent="0.25">
      <c r="U118" s="1188" t="s">
        <v>944</v>
      </c>
      <c r="V118" s="194" t="s">
        <v>725</v>
      </c>
      <c r="W118" s="507" t="e">
        <f ca="1">VLOOKUP('Project Summary'!$C$13,INDIRECT("'"&amp;$V$24&amp;"'!$BO$4:$BT$56"),2,FALSE)</f>
        <v>#N/A</v>
      </c>
      <c r="X118" s="433" t="e">
        <f ca="1">VLOOKUP('Project Summary'!$C$13,INDIRECT("'"&amp;$V$24&amp;"'!$BO$4:$BT$56"),3,FALSE)</f>
        <v>#N/A</v>
      </c>
      <c r="Y118" s="433" t="e">
        <f ca="1">VLOOKUP('Project Summary'!$C$13,INDIRECT("'"&amp;$V$24&amp;"'!$BO$4:$BT$56"),4,FALSE)</f>
        <v>#N/A</v>
      </c>
      <c r="Z118" s="433" t="e">
        <f ca="1">VLOOKUP('Project Summary'!$C$13,INDIRECT("'"&amp;$V$24&amp;"'!$BO$4:$BT$56"),5,FALSE)</f>
        <v>#N/A</v>
      </c>
      <c r="AA118" s="517" t="e">
        <f ca="1">VLOOKUP('Project Summary'!$C$13,INDIRECT("'"&amp;$V$24&amp;"'!$BO$4:$BT$56"),6,FALSE)</f>
        <v>#N/A</v>
      </c>
      <c r="AB118" s="319"/>
      <c r="AC118" s="319"/>
      <c r="AD118" s="319"/>
    </row>
    <row r="119" spans="21:31" ht="15.75" thickBot="1" x14ac:dyDescent="0.3">
      <c r="U119" s="1189"/>
      <c r="V119" s="518" t="s">
        <v>726</v>
      </c>
      <c r="W119" s="524" t="e">
        <f ca="1">VLOOKUP('Project Summary'!$C$13,INDIRECT("'"&amp;$V$24&amp;"'!$BV$4:$CA$56"),2,FALSE)</f>
        <v>#N/A</v>
      </c>
      <c r="X119" s="519" t="e">
        <f ca="1">VLOOKUP('Project Summary'!$C$13,INDIRECT("'"&amp;$V$24&amp;"'!$BV$4:$CA$56"),3,FALSE)</f>
        <v>#N/A</v>
      </c>
      <c r="Y119" s="519" t="e">
        <f ca="1">VLOOKUP('Project Summary'!$C$13,INDIRECT("'"&amp;$V$24&amp;"'!$BV$4:$CA$56"),4,FALSE)</f>
        <v>#N/A</v>
      </c>
      <c r="Z119" s="519" t="e">
        <f ca="1">VLOOKUP('Project Summary'!$C$13,INDIRECT("'"&amp;$V$24&amp;"'!$BV$4:$CA$56"),5,FALSE)</f>
        <v>#N/A</v>
      </c>
      <c r="AA119" s="520" t="e">
        <f ca="1">VLOOKUP('Project Summary'!$C$13,INDIRECT("'"&amp;$V$24&amp;"'!$BV$4:$CA$56"),6,FALSE)</f>
        <v>#N/A</v>
      </c>
      <c r="AB119" s="319"/>
      <c r="AC119" s="319"/>
      <c r="AD119" s="319"/>
    </row>
    <row r="120" spans="21:31" x14ac:dyDescent="0.25">
      <c r="U120" s="300"/>
      <c r="W120" s="495"/>
      <c r="X120" s="319"/>
      <c r="Y120" s="319"/>
      <c r="Z120" s="319"/>
      <c r="AA120" s="319"/>
      <c r="AB120" s="319"/>
      <c r="AC120" s="319"/>
      <c r="AD120" s="319"/>
    </row>
    <row r="122" spans="21:31" hidden="1" x14ac:dyDescent="0.25">
      <c r="V122" s="319" t="s">
        <v>898</v>
      </c>
      <c r="W122" s="319"/>
      <c r="X122" s="319" t="s">
        <v>902</v>
      </c>
      <c r="Y122" s="319" t="s">
        <v>905</v>
      </c>
      <c r="Z122" s="319" t="s">
        <v>1034</v>
      </c>
      <c r="AA122" s="319" t="s">
        <v>918</v>
      </c>
      <c r="AB122" s="319" t="s">
        <v>922</v>
      </c>
    </row>
    <row r="123" spans="21:31" hidden="1" x14ac:dyDescent="0.25">
      <c r="V123" s="420" t="s">
        <v>899</v>
      </c>
      <c r="W123" s="147" t="s">
        <v>18</v>
      </c>
      <c r="X123" s="147" t="s">
        <v>933</v>
      </c>
      <c r="Y123" s="420" t="s">
        <v>906</v>
      </c>
      <c r="Z123" s="420" t="s">
        <v>1039</v>
      </c>
      <c r="AA123" s="420" t="s">
        <v>919</v>
      </c>
      <c r="AB123" s="420" t="s">
        <v>923</v>
      </c>
      <c r="AE123" s="420"/>
    </row>
    <row r="124" spans="21:31" hidden="1" x14ac:dyDescent="0.25">
      <c r="V124" s="420" t="s">
        <v>929</v>
      </c>
      <c r="W124" s="147" t="s">
        <v>19</v>
      </c>
      <c r="X124" s="147" t="s">
        <v>953</v>
      </c>
      <c r="Y124" s="420" t="s">
        <v>909</v>
      </c>
      <c r="Z124" s="420" t="s">
        <v>1036</v>
      </c>
      <c r="AA124" s="420" t="s">
        <v>659</v>
      </c>
      <c r="AB124" s="420" t="s">
        <v>924</v>
      </c>
      <c r="AE124" s="420"/>
    </row>
    <row r="125" spans="21:31" hidden="1" x14ac:dyDescent="0.25">
      <c r="V125" s="420" t="s">
        <v>930</v>
      </c>
      <c r="W125" s="420"/>
      <c r="X125" s="147" t="s">
        <v>954</v>
      </c>
      <c r="Y125" s="420" t="s">
        <v>907</v>
      </c>
      <c r="Z125" s="420" t="s">
        <v>1037</v>
      </c>
      <c r="AA125" s="420" t="s">
        <v>920</v>
      </c>
      <c r="AB125" s="420" t="s">
        <v>925</v>
      </c>
      <c r="AE125" s="420"/>
    </row>
    <row r="126" spans="21:31" hidden="1" x14ac:dyDescent="0.25">
      <c r="V126" s="420" t="s">
        <v>931</v>
      </c>
      <c r="W126" s="420"/>
      <c r="X126" s="147" t="s">
        <v>955</v>
      </c>
      <c r="Y126" s="420" t="s">
        <v>910</v>
      </c>
      <c r="Z126" s="420" t="s">
        <v>1035</v>
      </c>
      <c r="AA126" s="420" t="s">
        <v>921</v>
      </c>
      <c r="AB126" s="420" t="s">
        <v>926</v>
      </c>
      <c r="AE126" s="420"/>
    </row>
    <row r="127" spans="21:31" hidden="1" x14ac:dyDescent="0.25">
      <c r="V127" s="420" t="s">
        <v>69</v>
      </c>
      <c r="W127" s="420"/>
      <c r="X127" s="420"/>
      <c r="Y127" s="420" t="s">
        <v>911</v>
      </c>
      <c r="Z127" s="420" t="s">
        <v>1038</v>
      </c>
      <c r="AA127" s="420" t="s">
        <v>69</v>
      </c>
      <c r="AB127" s="420" t="s">
        <v>927</v>
      </c>
      <c r="AE127" s="420"/>
    </row>
    <row r="128" spans="21:31" hidden="1" x14ac:dyDescent="0.25">
      <c r="V128" s="420"/>
      <c r="W128" s="420"/>
      <c r="X128" s="420"/>
      <c r="Y128" s="420" t="s">
        <v>912</v>
      </c>
      <c r="Z128" s="420"/>
      <c r="AA128" s="420"/>
      <c r="AB128" s="420" t="s">
        <v>928</v>
      </c>
      <c r="AE128" s="420"/>
    </row>
    <row r="129" spans="22:28" hidden="1" x14ac:dyDescent="0.25">
      <c r="V129" s="420"/>
      <c r="W129" s="420"/>
      <c r="X129" s="420"/>
      <c r="Y129" s="420" t="s">
        <v>908</v>
      </c>
      <c r="Z129" s="420"/>
      <c r="AA129" s="420"/>
      <c r="AB129" s="420"/>
    </row>
    <row r="130" spans="22:28" hidden="1" x14ac:dyDescent="0.25">
      <c r="V130" s="420"/>
      <c r="W130" s="420"/>
      <c r="X130" s="420"/>
      <c r="Y130" s="420" t="s">
        <v>913</v>
      </c>
      <c r="Z130" s="420"/>
      <c r="AA130" s="420"/>
      <c r="AB130" s="420"/>
    </row>
    <row r="131" spans="22:28" hidden="1" x14ac:dyDescent="0.25">
      <c r="V131" s="420"/>
      <c r="W131" s="420"/>
      <c r="X131" s="420"/>
      <c r="Y131" s="420" t="s">
        <v>915</v>
      </c>
      <c r="Z131" s="420"/>
      <c r="AA131" s="420"/>
    </row>
    <row r="132" spans="22:28" hidden="1" x14ac:dyDescent="0.25">
      <c r="V132" s="420"/>
      <c r="W132" s="420"/>
      <c r="X132" s="420"/>
      <c r="Y132" s="420" t="s">
        <v>914</v>
      </c>
      <c r="Z132" s="420"/>
      <c r="AA132" s="420"/>
    </row>
    <row r="133" spans="22:28" x14ac:dyDescent="0.25">
      <c r="W133" s="420"/>
    </row>
  </sheetData>
  <sheetProtection algorithmName="SHA-512" hashValue="4foTJ/8jbyUZxro/MlNqvBWriWgNYwE0lAakwYmTYpptyQa7SQcB2262rAO2LngmolBSZizLfH+wqZWALlr6nA==" saltValue="9swwp0FKZH3693kzjjmgTA==" spinCount="100000" sheet="1" objects="1" scenarios="1"/>
  <mergeCells count="375">
    <mergeCell ref="A1:M1"/>
    <mergeCell ref="A2:B2"/>
    <mergeCell ref="C2:K2"/>
    <mergeCell ref="L2:M2"/>
    <mergeCell ref="A3:B3"/>
    <mergeCell ref="C3:K3"/>
    <mergeCell ref="L3:M3"/>
    <mergeCell ref="L6:M6"/>
    <mergeCell ref="A7:D7"/>
    <mergeCell ref="F7:G7"/>
    <mergeCell ref="I7:J7"/>
    <mergeCell ref="L7:M7"/>
    <mergeCell ref="A4:B4"/>
    <mergeCell ref="C4:G4"/>
    <mergeCell ref="H4:I4"/>
    <mergeCell ref="J4:K4"/>
    <mergeCell ref="A6:D6"/>
    <mergeCell ref="F6:G6"/>
    <mergeCell ref="I6:J6"/>
    <mergeCell ref="A16:H16"/>
    <mergeCell ref="I16:J16"/>
    <mergeCell ref="A18:H18"/>
    <mergeCell ref="I18:J18"/>
    <mergeCell ref="L18:M18"/>
    <mergeCell ref="I10:J10"/>
    <mergeCell ref="L10:M10"/>
    <mergeCell ref="A12:M12"/>
    <mergeCell ref="I13:J13"/>
    <mergeCell ref="L13:M13"/>
    <mergeCell ref="A14:H14"/>
    <mergeCell ref="I14:J14"/>
    <mergeCell ref="L14:M14"/>
    <mergeCell ref="I9:J9"/>
    <mergeCell ref="L9:M9"/>
    <mergeCell ref="E29:F29"/>
    <mergeCell ref="E30:F30"/>
    <mergeCell ref="I26:J26"/>
    <mergeCell ref="E27:F27"/>
    <mergeCell ref="K25:M25"/>
    <mergeCell ref="A19:I19"/>
    <mergeCell ref="A21:H21"/>
    <mergeCell ref="I21:J21"/>
    <mergeCell ref="L21:M21"/>
    <mergeCell ref="A22:I22"/>
    <mergeCell ref="G27:H27"/>
    <mergeCell ref="G28:H28"/>
    <mergeCell ref="K27:M27"/>
    <mergeCell ref="K28:M28"/>
    <mergeCell ref="G25:H25"/>
    <mergeCell ref="G26:H26"/>
    <mergeCell ref="E25:F25"/>
    <mergeCell ref="E26:F26"/>
    <mergeCell ref="K26:M26"/>
    <mergeCell ref="I28:J28"/>
    <mergeCell ref="E28:F28"/>
    <mergeCell ref="A24:T24"/>
    <mergeCell ref="A23:T23"/>
    <mergeCell ref="G31:H31"/>
    <mergeCell ref="G32:H32"/>
    <mergeCell ref="K31:M31"/>
    <mergeCell ref="K32:M32"/>
    <mergeCell ref="G29:H29"/>
    <mergeCell ref="G30:H30"/>
    <mergeCell ref="K29:M29"/>
    <mergeCell ref="K30:M30"/>
    <mergeCell ref="I30:J30"/>
    <mergeCell ref="I25:J25"/>
    <mergeCell ref="I27:J27"/>
    <mergeCell ref="I29:J29"/>
    <mergeCell ref="I31:J31"/>
    <mergeCell ref="I32:J32"/>
    <mergeCell ref="G35:H35"/>
    <mergeCell ref="G36:H36"/>
    <mergeCell ref="I35:J35"/>
    <mergeCell ref="I36:J36"/>
    <mergeCell ref="K35:M35"/>
    <mergeCell ref="K36:M36"/>
    <mergeCell ref="G33:H33"/>
    <mergeCell ref="G34:H34"/>
    <mergeCell ref="K33:M33"/>
    <mergeCell ref="K34:M34"/>
    <mergeCell ref="I33:J33"/>
    <mergeCell ref="I34:J34"/>
    <mergeCell ref="G39:H39"/>
    <mergeCell ref="G40:H40"/>
    <mergeCell ref="I39:J39"/>
    <mergeCell ref="I40:J40"/>
    <mergeCell ref="K39:M39"/>
    <mergeCell ref="K40:M40"/>
    <mergeCell ref="G37:H37"/>
    <mergeCell ref="G38:H38"/>
    <mergeCell ref="I37:J37"/>
    <mergeCell ref="I38:J38"/>
    <mergeCell ref="K37:M37"/>
    <mergeCell ref="K38:M38"/>
    <mergeCell ref="G43:H43"/>
    <mergeCell ref="G44:H44"/>
    <mergeCell ref="I43:J43"/>
    <mergeCell ref="I44:J44"/>
    <mergeCell ref="K43:M43"/>
    <mergeCell ref="K44:M44"/>
    <mergeCell ref="G41:H41"/>
    <mergeCell ref="G42:H42"/>
    <mergeCell ref="I41:J41"/>
    <mergeCell ref="I42:J42"/>
    <mergeCell ref="K41:M41"/>
    <mergeCell ref="K42:M42"/>
    <mergeCell ref="G47:H47"/>
    <mergeCell ref="G48:H48"/>
    <mergeCell ref="I47:J47"/>
    <mergeCell ref="I48:J48"/>
    <mergeCell ref="K47:M47"/>
    <mergeCell ref="K48:M48"/>
    <mergeCell ref="G45:H45"/>
    <mergeCell ref="G46:H46"/>
    <mergeCell ref="I45:J45"/>
    <mergeCell ref="I46:J46"/>
    <mergeCell ref="K45:M45"/>
    <mergeCell ref="K46:M46"/>
    <mergeCell ref="G51:H51"/>
    <mergeCell ref="G52:H52"/>
    <mergeCell ref="I51:J51"/>
    <mergeCell ref="I52:J52"/>
    <mergeCell ref="K51:M51"/>
    <mergeCell ref="K52:M52"/>
    <mergeCell ref="G49:H49"/>
    <mergeCell ref="G50:H50"/>
    <mergeCell ref="I49:J49"/>
    <mergeCell ref="I50:J50"/>
    <mergeCell ref="K49:M49"/>
    <mergeCell ref="K50:M50"/>
    <mergeCell ref="G55:H55"/>
    <mergeCell ref="G56:H56"/>
    <mergeCell ref="I55:J55"/>
    <mergeCell ref="I56:J56"/>
    <mergeCell ref="K55:M55"/>
    <mergeCell ref="K56:M56"/>
    <mergeCell ref="G53:H53"/>
    <mergeCell ref="G54:H54"/>
    <mergeCell ref="I53:J53"/>
    <mergeCell ref="I54:J54"/>
    <mergeCell ref="K53:M53"/>
    <mergeCell ref="K54:M54"/>
    <mergeCell ref="G59:H59"/>
    <mergeCell ref="G60:H60"/>
    <mergeCell ref="I59:J59"/>
    <mergeCell ref="I60:J60"/>
    <mergeCell ref="K59:M59"/>
    <mergeCell ref="K60:M60"/>
    <mergeCell ref="G57:H57"/>
    <mergeCell ref="G58:H58"/>
    <mergeCell ref="I57:J57"/>
    <mergeCell ref="I58:J58"/>
    <mergeCell ref="K57:M57"/>
    <mergeCell ref="K58:M58"/>
    <mergeCell ref="G63:H63"/>
    <mergeCell ref="G64:H64"/>
    <mergeCell ref="I63:J63"/>
    <mergeCell ref="I64:J64"/>
    <mergeCell ref="K63:M63"/>
    <mergeCell ref="K64:M64"/>
    <mergeCell ref="G61:H61"/>
    <mergeCell ref="G62:H62"/>
    <mergeCell ref="I61:J61"/>
    <mergeCell ref="I62:J62"/>
    <mergeCell ref="K61:M61"/>
    <mergeCell ref="K62:M62"/>
    <mergeCell ref="G72:H72"/>
    <mergeCell ref="G73:H73"/>
    <mergeCell ref="I72:J72"/>
    <mergeCell ref="I73:J73"/>
    <mergeCell ref="K72:M72"/>
    <mergeCell ref="K73:M73"/>
    <mergeCell ref="G70:H70"/>
    <mergeCell ref="G71:H71"/>
    <mergeCell ref="I70:J70"/>
    <mergeCell ref="I71:J71"/>
    <mergeCell ref="K70:M70"/>
    <mergeCell ref="K71:M71"/>
    <mergeCell ref="G76:H76"/>
    <mergeCell ref="G77:H77"/>
    <mergeCell ref="I76:J76"/>
    <mergeCell ref="I77:J77"/>
    <mergeCell ref="K76:M76"/>
    <mergeCell ref="K77:M77"/>
    <mergeCell ref="G74:H74"/>
    <mergeCell ref="G75:H75"/>
    <mergeCell ref="I74:J74"/>
    <mergeCell ref="I75:J75"/>
    <mergeCell ref="K74:M74"/>
    <mergeCell ref="K75:M75"/>
    <mergeCell ref="G80:H80"/>
    <mergeCell ref="G81:H81"/>
    <mergeCell ref="I80:J80"/>
    <mergeCell ref="I81:J81"/>
    <mergeCell ref="K80:M80"/>
    <mergeCell ref="K81:M81"/>
    <mergeCell ref="G78:H78"/>
    <mergeCell ref="G79:H79"/>
    <mergeCell ref="I78:J78"/>
    <mergeCell ref="I79:J79"/>
    <mergeCell ref="K78:M78"/>
    <mergeCell ref="K79:M79"/>
    <mergeCell ref="G84:H84"/>
    <mergeCell ref="G85:H85"/>
    <mergeCell ref="I84:J84"/>
    <mergeCell ref="I85:J85"/>
    <mergeCell ref="K84:M84"/>
    <mergeCell ref="K85:M85"/>
    <mergeCell ref="G82:H82"/>
    <mergeCell ref="G83:H83"/>
    <mergeCell ref="I82:J82"/>
    <mergeCell ref="I83:J83"/>
    <mergeCell ref="K82:M82"/>
    <mergeCell ref="K83:M83"/>
    <mergeCell ref="G88:H88"/>
    <mergeCell ref="G89:H89"/>
    <mergeCell ref="I88:J88"/>
    <mergeCell ref="I89:J89"/>
    <mergeCell ref="K88:M88"/>
    <mergeCell ref="K89:M89"/>
    <mergeCell ref="G86:H86"/>
    <mergeCell ref="G87:H87"/>
    <mergeCell ref="I86:J86"/>
    <mergeCell ref="I87:J87"/>
    <mergeCell ref="K86:M86"/>
    <mergeCell ref="K87:M87"/>
    <mergeCell ref="G92:H92"/>
    <mergeCell ref="G93:H93"/>
    <mergeCell ref="I92:J92"/>
    <mergeCell ref="I93:J93"/>
    <mergeCell ref="K92:M92"/>
    <mergeCell ref="K93:M93"/>
    <mergeCell ref="G90:H90"/>
    <mergeCell ref="G91:H91"/>
    <mergeCell ref="I90:J90"/>
    <mergeCell ref="I91:J91"/>
    <mergeCell ref="K90:M90"/>
    <mergeCell ref="K91:M91"/>
    <mergeCell ref="G96:H96"/>
    <mergeCell ref="G97:H97"/>
    <mergeCell ref="I96:J96"/>
    <mergeCell ref="I97:J97"/>
    <mergeCell ref="K96:M96"/>
    <mergeCell ref="K97:M97"/>
    <mergeCell ref="G94:H94"/>
    <mergeCell ref="G95:H95"/>
    <mergeCell ref="I94:J94"/>
    <mergeCell ref="I95:J95"/>
    <mergeCell ref="K94:M94"/>
    <mergeCell ref="K95:M95"/>
    <mergeCell ref="G100:H100"/>
    <mergeCell ref="G101:H101"/>
    <mergeCell ref="I100:J100"/>
    <mergeCell ref="I101:J101"/>
    <mergeCell ref="K100:M100"/>
    <mergeCell ref="K101:M101"/>
    <mergeCell ref="G98:H98"/>
    <mergeCell ref="G99:H99"/>
    <mergeCell ref="I98:J98"/>
    <mergeCell ref="I99:J99"/>
    <mergeCell ref="K98:M98"/>
    <mergeCell ref="K99:M99"/>
    <mergeCell ref="G104:H104"/>
    <mergeCell ref="G105:H105"/>
    <mergeCell ref="I104:J104"/>
    <mergeCell ref="I105:J105"/>
    <mergeCell ref="K104:M104"/>
    <mergeCell ref="K105:M105"/>
    <mergeCell ref="G102:H102"/>
    <mergeCell ref="G103:H103"/>
    <mergeCell ref="I102:J102"/>
    <mergeCell ref="I103:J103"/>
    <mergeCell ref="K102:M102"/>
    <mergeCell ref="K103:M103"/>
    <mergeCell ref="U112:U115"/>
    <mergeCell ref="U118:U119"/>
    <mergeCell ref="G108:H108"/>
    <mergeCell ref="V110:AD110"/>
    <mergeCell ref="I108:J108"/>
    <mergeCell ref="K108:M108"/>
    <mergeCell ref="G106:H106"/>
    <mergeCell ref="G107:H107"/>
    <mergeCell ref="I106:J106"/>
    <mergeCell ref="I107:J107"/>
    <mergeCell ref="K106:M106"/>
    <mergeCell ref="K107:M107"/>
    <mergeCell ref="A109:T109"/>
    <mergeCell ref="E106:F106"/>
    <mergeCell ref="E107:F107"/>
    <mergeCell ref="E108:F108"/>
    <mergeCell ref="E37:F37"/>
    <mergeCell ref="E38:F38"/>
    <mergeCell ref="E39:F39"/>
    <mergeCell ref="E40:F40"/>
    <mergeCell ref="E41:F41"/>
    <mergeCell ref="E42:F42"/>
    <mergeCell ref="E31:F31"/>
    <mergeCell ref="E32:F32"/>
    <mergeCell ref="E33:F33"/>
    <mergeCell ref="E34:F34"/>
    <mergeCell ref="E35:F35"/>
    <mergeCell ref="E36:F36"/>
    <mergeCell ref="E49:F49"/>
    <mergeCell ref="E50:F50"/>
    <mergeCell ref="E51:F51"/>
    <mergeCell ref="E52:F52"/>
    <mergeCell ref="E53:F53"/>
    <mergeCell ref="E54:F54"/>
    <mergeCell ref="E43:F43"/>
    <mergeCell ref="E44:F44"/>
    <mergeCell ref="E45:F45"/>
    <mergeCell ref="E46:F46"/>
    <mergeCell ref="E47:F47"/>
    <mergeCell ref="E48:F48"/>
    <mergeCell ref="E61:F61"/>
    <mergeCell ref="E62:F62"/>
    <mergeCell ref="E63:F63"/>
    <mergeCell ref="E64:F64"/>
    <mergeCell ref="E65:F65"/>
    <mergeCell ref="E69:F69"/>
    <mergeCell ref="E55:F55"/>
    <mergeCell ref="E56:F56"/>
    <mergeCell ref="E57:F57"/>
    <mergeCell ref="E58:F58"/>
    <mergeCell ref="E59:F59"/>
    <mergeCell ref="E60:F60"/>
    <mergeCell ref="E68:F68"/>
    <mergeCell ref="A66:T66"/>
    <mergeCell ref="A67:T67"/>
    <mergeCell ref="G68:H68"/>
    <mergeCell ref="I68:J68"/>
    <mergeCell ref="K68:M68"/>
    <mergeCell ref="G65:H65"/>
    <mergeCell ref="G69:H69"/>
    <mergeCell ref="I65:J65"/>
    <mergeCell ref="I69:J69"/>
    <mergeCell ref="K65:M65"/>
    <mergeCell ref="K69:M69"/>
    <mergeCell ref="E76:F76"/>
    <mergeCell ref="E77:F77"/>
    <mergeCell ref="E78:F78"/>
    <mergeCell ref="E79:F79"/>
    <mergeCell ref="E80:F80"/>
    <mergeCell ref="E81:F81"/>
    <mergeCell ref="E70:F70"/>
    <mergeCell ref="E71:F71"/>
    <mergeCell ref="E72:F72"/>
    <mergeCell ref="E73:F73"/>
    <mergeCell ref="E74:F74"/>
    <mergeCell ref="E75:F75"/>
    <mergeCell ref="E90:F90"/>
    <mergeCell ref="E91:F91"/>
    <mergeCell ref="E92:F92"/>
    <mergeCell ref="E93:F93"/>
    <mergeCell ref="E82:F82"/>
    <mergeCell ref="E83:F83"/>
    <mergeCell ref="E84:F84"/>
    <mergeCell ref="E85:F85"/>
    <mergeCell ref="E86:F86"/>
    <mergeCell ref="E87:F87"/>
    <mergeCell ref="E88:F88"/>
    <mergeCell ref="E89:F89"/>
    <mergeCell ref="E100:F100"/>
    <mergeCell ref="E101:F101"/>
    <mergeCell ref="E102:F102"/>
    <mergeCell ref="E103:F103"/>
    <mergeCell ref="E104:F104"/>
    <mergeCell ref="E105:F105"/>
    <mergeCell ref="E94:F94"/>
    <mergeCell ref="E95:F95"/>
    <mergeCell ref="E96:F96"/>
    <mergeCell ref="E97:F97"/>
    <mergeCell ref="E98:F98"/>
    <mergeCell ref="E99:F99"/>
  </mergeCells>
  <conditionalFormatting sqref="G26:H65 G69:H108">
    <cfRule type="expression" dxfId="0" priority="59">
      <formula>IF($E26=$V$118,AND($G26&gt;$Z26,OR($T26=$AB$123,$T26=$AB$126,$T26=$AB$127,$T26=$AB$128)),IF($E26=$V$119,$G26&gt;$Z26,"False"))</formula>
    </cfRule>
  </conditionalFormatting>
  <dataValidations count="9">
    <dataValidation type="list" allowBlank="1" showInputMessage="1" showErrorMessage="1" sqref="I7:J7 L7:M7 N26:N65 N69:N108 S26:S65 S69:S108" xr:uid="{8A650A8C-7538-42A0-B0DC-62C1EF8F6310}">
      <formula1>$W$123:$W$124</formula1>
    </dataValidation>
    <dataValidation type="list" allowBlank="1" showInputMessage="1" showErrorMessage="1" sqref="Q69:Q108 Q26:Q65" xr:uid="{BEF735AB-D448-4F9A-B958-80530063DF7C}">
      <formula1>$AA$123:$AA$127</formula1>
    </dataValidation>
    <dataValidation type="list" allowBlank="1" showInputMessage="1" showErrorMessage="1" sqref="F7:G7" xr:uid="{06E3E4BD-5737-41EE-87DF-F3A07E13B1E8}">
      <formula1>$V$123:$V$127</formula1>
    </dataValidation>
    <dataValidation type="list" allowBlank="1" showInputMessage="1" showErrorMessage="1" sqref="P26:P65 P69:P108" xr:uid="{8977D72D-235E-4874-ABDD-A55DB1FF69FE}">
      <formula1>$W$111:$AD$111</formula1>
    </dataValidation>
    <dataValidation type="list" allowBlank="1" showInputMessage="1" showErrorMessage="1" sqref="T26:T65 T69:T108" xr:uid="{BFAFECBF-D204-4966-91E5-D333CA804F8A}">
      <formula1>$AB$123:$AB$128</formula1>
    </dataValidation>
    <dataValidation type="list" allowBlank="1" showInputMessage="1" showErrorMessage="1" sqref="E26:F65 E69:F108" xr:uid="{B353F23A-F928-4459-955F-21A8D1C6D661}">
      <formula1>$V$118:$V$119</formula1>
    </dataValidation>
    <dataValidation type="list" allowBlank="1" showInputMessage="1" showErrorMessage="1" sqref="R69:R108 R26:R65" xr:uid="{ADC62408-5A81-4DD6-A3EB-57A8C4A2FC22}">
      <formula1>$Z$123:$Z$127</formula1>
    </dataValidation>
    <dataValidation type="list" allowBlank="1" showInputMessage="1" showErrorMessage="1" sqref="O69:O108" xr:uid="{BCB7D1FF-B3FC-452D-8E31-1A0750F8AA6E}">
      <formula1>$X$123:$X$132</formula1>
    </dataValidation>
    <dataValidation type="list" allowBlank="1" showInputMessage="1" showErrorMessage="1" sqref="O26:O65" xr:uid="{EFB806E6-37B6-4953-966D-6EFE7F888F71}">
      <formula1>$Y$123:$Y$132</formula1>
    </dataValidation>
  </dataValidations>
  <pageMargins left="0.5" right="0.5" top="0.5" bottom="0.5" header="0.25" footer="0.25"/>
  <pageSetup paperSize="5" scale="62" orientation="landscape" r:id="rId1"/>
  <headerFooter>
    <oddFooter>&amp;C&amp;14Page &amp;P of &amp;N</oddFooter>
  </headerFooter>
  <rowBreaks count="1" manualBreakCount="1">
    <brk id="65" max="1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275446B-C3C1-4F1A-919B-F000F8F3A967}">
          <x14:formula1>
            <xm:f>'Project Summary'!$M$148:$M$150</xm:f>
          </x14:formula1>
          <xm:sqref>V24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00B4C-C891-4439-BC48-62A9A2B68A07}">
  <dimension ref="A1:CA82"/>
  <sheetViews>
    <sheetView zoomScale="85" zoomScaleNormal="85" workbookViewId="0">
      <selection activeCell="A4" sqref="A4"/>
    </sheetView>
  </sheetViews>
  <sheetFormatPr defaultRowHeight="15" x14ac:dyDescent="0.25"/>
  <cols>
    <col min="1" max="1" width="14.28515625" bestFit="1" customWidth="1"/>
    <col min="2" max="2" width="14.28515625" customWidth="1"/>
    <col min="3" max="3" width="12.5703125" bestFit="1" customWidth="1"/>
    <col min="8" max="8" width="10.42578125" bestFit="1" customWidth="1"/>
    <col min="13" max="13" width="10.42578125" bestFit="1" customWidth="1"/>
    <col min="18" max="18" width="10.42578125" bestFit="1" customWidth="1"/>
    <col min="23" max="23" width="10.42578125" bestFit="1" customWidth="1"/>
    <col min="28" max="28" width="10.42578125" bestFit="1" customWidth="1"/>
    <col min="33" max="33" width="10.42578125" bestFit="1" customWidth="1"/>
    <col min="38" max="38" width="2.7109375" customWidth="1"/>
    <col min="39" max="39" width="10.42578125" bestFit="1" customWidth="1"/>
    <col min="44" max="44" width="2.7109375" customWidth="1"/>
    <col min="45" max="45" width="10.42578125" bestFit="1" customWidth="1"/>
    <col min="50" max="50" width="10.42578125" bestFit="1" customWidth="1"/>
    <col min="55" max="55" width="10.42578125" bestFit="1" customWidth="1"/>
    <col min="60" max="60" width="2.7109375" customWidth="1"/>
    <col min="61" max="61" width="10.42578125" bestFit="1" customWidth="1"/>
    <col min="66" max="66" width="2.7109375" customWidth="1"/>
    <col min="67" max="67" width="14.28515625" bestFit="1" customWidth="1"/>
    <col min="68" max="68" width="10.42578125" bestFit="1" customWidth="1"/>
    <col min="73" max="73" width="2.7109375" customWidth="1"/>
    <col min="74" max="74" width="14.28515625" bestFit="1" customWidth="1"/>
    <col min="75" max="75" width="10.42578125" bestFit="1" customWidth="1"/>
  </cols>
  <sheetData>
    <row r="1" spans="1:79" ht="15" customHeight="1" thickBot="1" x14ac:dyDescent="0.3">
      <c r="A1" s="147" t="s">
        <v>380</v>
      </c>
      <c r="B1" s="147"/>
      <c r="C1" s="1195" t="s">
        <v>153</v>
      </c>
      <c r="D1" s="1196"/>
      <c r="E1" s="1196"/>
      <c r="F1" s="1196"/>
      <c r="G1" s="1197"/>
      <c r="H1" s="1195" t="s">
        <v>154</v>
      </c>
      <c r="I1" s="1196"/>
      <c r="J1" s="1196"/>
      <c r="K1" s="1196"/>
      <c r="L1" s="1196"/>
      <c r="M1" s="1195" t="s">
        <v>155</v>
      </c>
      <c r="N1" s="1196"/>
      <c r="O1" s="1196"/>
      <c r="P1" s="1196"/>
      <c r="Q1" s="1197"/>
      <c r="R1" s="1195" t="s">
        <v>156</v>
      </c>
      <c r="S1" s="1196"/>
      <c r="T1" s="1196"/>
      <c r="U1" s="1196"/>
      <c r="V1" s="1196"/>
      <c r="W1" s="1195" t="s">
        <v>157</v>
      </c>
      <c r="X1" s="1196"/>
      <c r="Y1" s="1196"/>
      <c r="Z1" s="1196"/>
      <c r="AA1" s="1197"/>
      <c r="AB1" s="1195" t="s">
        <v>158</v>
      </c>
      <c r="AC1" s="1196"/>
      <c r="AD1" s="1196"/>
      <c r="AE1" s="1196"/>
      <c r="AF1" s="1197"/>
      <c r="AG1" s="1195" t="s">
        <v>159</v>
      </c>
      <c r="AH1" s="1196"/>
      <c r="AI1" s="1196"/>
      <c r="AJ1" s="1196"/>
      <c r="AK1" s="1197"/>
      <c r="AM1" s="1201" t="s">
        <v>160</v>
      </c>
      <c r="AN1" s="1202"/>
      <c r="AO1" s="1202"/>
      <c r="AP1" s="1202"/>
      <c r="AQ1" s="1203"/>
      <c r="AS1" s="1204" t="s">
        <v>161</v>
      </c>
      <c r="AT1" s="1205"/>
      <c r="AU1" s="1205"/>
      <c r="AV1" s="1205"/>
      <c r="AW1" s="1206"/>
      <c r="AX1" s="1204" t="s">
        <v>162</v>
      </c>
      <c r="AY1" s="1205"/>
      <c r="AZ1" s="1205"/>
      <c r="BA1" s="1205"/>
      <c r="BB1" s="1206"/>
      <c r="BC1" s="1204" t="s">
        <v>163</v>
      </c>
      <c r="BD1" s="1205"/>
      <c r="BE1" s="1205"/>
      <c r="BF1" s="1205"/>
      <c r="BG1" s="1206"/>
      <c r="BI1" s="1207" t="s">
        <v>296</v>
      </c>
      <c r="BJ1" s="1208"/>
      <c r="BK1" s="1208"/>
      <c r="BL1" s="1208"/>
      <c r="BM1" s="1209"/>
      <c r="BO1" s="147" t="s">
        <v>380</v>
      </c>
      <c r="BP1" s="1207" t="s">
        <v>165</v>
      </c>
      <c r="BQ1" s="1208"/>
      <c r="BR1" s="1208"/>
      <c r="BS1" s="1208"/>
      <c r="BT1" s="1209"/>
      <c r="BV1" s="147"/>
      <c r="BW1" s="1207" t="s">
        <v>166</v>
      </c>
      <c r="BX1" s="1208"/>
      <c r="BY1" s="1208"/>
      <c r="BZ1" s="1208"/>
      <c r="CA1" s="1209"/>
    </row>
    <row r="2" spans="1:79" ht="15.75" customHeight="1" thickBot="1" x14ac:dyDescent="0.3">
      <c r="A2" s="148">
        <v>45383</v>
      </c>
      <c r="B2" s="1216" t="s">
        <v>935</v>
      </c>
      <c r="C2" s="1198" t="s">
        <v>57</v>
      </c>
      <c r="D2" s="1199" t="s">
        <v>58</v>
      </c>
      <c r="E2" s="1199" t="s">
        <v>59</v>
      </c>
      <c r="F2" s="1199" t="s">
        <v>60</v>
      </c>
      <c r="G2" s="1200" t="s">
        <v>61</v>
      </c>
      <c r="H2" s="1198" t="s">
        <v>57</v>
      </c>
      <c r="I2" s="1199" t="s">
        <v>58</v>
      </c>
      <c r="J2" s="1199" t="s">
        <v>59</v>
      </c>
      <c r="K2" s="1199" t="s">
        <v>60</v>
      </c>
      <c r="L2" s="1199" t="s">
        <v>61</v>
      </c>
      <c r="M2" s="1198" t="s">
        <v>57</v>
      </c>
      <c r="N2" s="1199" t="s">
        <v>58</v>
      </c>
      <c r="O2" s="1199" t="s">
        <v>59</v>
      </c>
      <c r="P2" s="1199" t="s">
        <v>60</v>
      </c>
      <c r="Q2" s="1200" t="s">
        <v>61</v>
      </c>
      <c r="R2" s="1198" t="s">
        <v>57</v>
      </c>
      <c r="S2" s="1199" t="s">
        <v>58</v>
      </c>
      <c r="T2" s="1199" t="s">
        <v>59</v>
      </c>
      <c r="U2" s="1199" t="s">
        <v>60</v>
      </c>
      <c r="V2" s="1199" t="s">
        <v>61</v>
      </c>
      <c r="W2" s="1198" t="s">
        <v>57</v>
      </c>
      <c r="X2" s="1199" t="s">
        <v>58</v>
      </c>
      <c r="Y2" s="1199" t="s">
        <v>59</v>
      </c>
      <c r="Z2" s="1199" t="s">
        <v>60</v>
      </c>
      <c r="AA2" s="1200" t="s">
        <v>61</v>
      </c>
      <c r="AB2" s="1198" t="s">
        <v>57</v>
      </c>
      <c r="AC2" s="1199" t="s">
        <v>58</v>
      </c>
      <c r="AD2" s="1199" t="s">
        <v>59</v>
      </c>
      <c r="AE2" s="1199" t="s">
        <v>60</v>
      </c>
      <c r="AF2" s="1200" t="s">
        <v>61</v>
      </c>
      <c r="AG2" s="1198" t="s">
        <v>57</v>
      </c>
      <c r="AH2" s="1199" t="s">
        <v>58</v>
      </c>
      <c r="AI2" s="1199" t="s">
        <v>59</v>
      </c>
      <c r="AJ2" s="1199" t="s">
        <v>60</v>
      </c>
      <c r="AK2" s="1200" t="s">
        <v>61</v>
      </c>
      <c r="AM2" s="1198" t="s">
        <v>57</v>
      </c>
      <c r="AN2" s="1199" t="s">
        <v>58</v>
      </c>
      <c r="AO2" s="1199" t="s">
        <v>59</v>
      </c>
      <c r="AP2" s="1199" t="s">
        <v>60</v>
      </c>
      <c r="AQ2" s="1200" t="s">
        <v>61</v>
      </c>
      <c r="AS2" s="1198" t="s">
        <v>57</v>
      </c>
      <c r="AT2" s="1199" t="s">
        <v>58</v>
      </c>
      <c r="AU2" s="1199" t="s">
        <v>59</v>
      </c>
      <c r="AV2" s="1199" t="s">
        <v>60</v>
      </c>
      <c r="AW2" s="1200" t="s">
        <v>61</v>
      </c>
      <c r="AX2" s="1198" t="s">
        <v>57</v>
      </c>
      <c r="AY2" s="1199" t="s">
        <v>58</v>
      </c>
      <c r="AZ2" s="1199" t="s">
        <v>59</v>
      </c>
      <c r="BA2" s="1199" t="s">
        <v>60</v>
      </c>
      <c r="BB2" s="1200" t="s">
        <v>61</v>
      </c>
      <c r="BC2" s="1198" t="s">
        <v>57</v>
      </c>
      <c r="BD2" s="1199" t="s">
        <v>58</v>
      </c>
      <c r="BE2" s="1199" t="s">
        <v>59</v>
      </c>
      <c r="BF2" s="1199" t="s">
        <v>60</v>
      </c>
      <c r="BG2" s="1200" t="s">
        <v>61</v>
      </c>
      <c r="BI2" s="1198" t="s">
        <v>57</v>
      </c>
      <c r="BJ2" s="1199" t="s">
        <v>58</v>
      </c>
      <c r="BK2" s="1199" t="s">
        <v>59</v>
      </c>
      <c r="BL2" s="1199" t="s">
        <v>60</v>
      </c>
      <c r="BM2" s="1200" t="s">
        <v>61</v>
      </c>
      <c r="BO2" s="148">
        <v>45444</v>
      </c>
      <c r="BP2" s="1198" t="s">
        <v>57</v>
      </c>
      <c r="BQ2" s="1199" t="s">
        <v>58</v>
      </c>
      <c r="BR2" s="1199" t="s">
        <v>59</v>
      </c>
      <c r="BS2" s="1199" t="s">
        <v>60</v>
      </c>
      <c r="BT2" s="1200" t="s">
        <v>61</v>
      </c>
      <c r="BV2" s="343"/>
      <c r="BW2" s="1198" t="s">
        <v>57</v>
      </c>
      <c r="BX2" s="1199" t="s">
        <v>58</v>
      </c>
      <c r="BY2" s="1199" t="s">
        <v>59</v>
      </c>
      <c r="BZ2" s="1199" t="s">
        <v>60</v>
      </c>
      <c r="CA2" s="1200" t="s">
        <v>61</v>
      </c>
    </row>
    <row r="3" spans="1:79" ht="16.5" thickBot="1" x14ac:dyDescent="0.3">
      <c r="A3" s="149" t="s">
        <v>79</v>
      </c>
      <c r="B3" s="1217"/>
      <c r="C3" s="1198"/>
      <c r="D3" s="1199"/>
      <c r="E3" s="1199"/>
      <c r="F3" s="1199"/>
      <c r="G3" s="1200"/>
      <c r="H3" s="1198"/>
      <c r="I3" s="1199"/>
      <c r="J3" s="1199"/>
      <c r="K3" s="1199"/>
      <c r="L3" s="1199"/>
      <c r="M3" s="1198"/>
      <c r="N3" s="1199"/>
      <c r="O3" s="1199"/>
      <c r="P3" s="1199"/>
      <c r="Q3" s="1200"/>
      <c r="R3" s="1198"/>
      <c r="S3" s="1199"/>
      <c r="T3" s="1199"/>
      <c r="U3" s="1199"/>
      <c r="V3" s="1199"/>
      <c r="W3" s="1198"/>
      <c r="X3" s="1199"/>
      <c r="Y3" s="1199"/>
      <c r="Z3" s="1199"/>
      <c r="AA3" s="1200"/>
      <c r="AB3" s="1198"/>
      <c r="AC3" s="1199"/>
      <c r="AD3" s="1199"/>
      <c r="AE3" s="1199"/>
      <c r="AF3" s="1200"/>
      <c r="AG3" s="1198"/>
      <c r="AH3" s="1199"/>
      <c r="AI3" s="1199"/>
      <c r="AJ3" s="1199"/>
      <c r="AK3" s="1200"/>
      <c r="AM3" s="1198"/>
      <c r="AN3" s="1199"/>
      <c r="AO3" s="1199"/>
      <c r="AP3" s="1199"/>
      <c r="AQ3" s="1200"/>
      <c r="AS3" s="1198"/>
      <c r="AT3" s="1199"/>
      <c r="AU3" s="1199"/>
      <c r="AV3" s="1199"/>
      <c r="AW3" s="1200"/>
      <c r="AX3" s="1198"/>
      <c r="AY3" s="1199"/>
      <c r="AZ3" s="1199"/>
      <c r="BA3" s="1199"/>
      <c r="BB3" s="1200"/>
      <c r="BC3" s="1198"/>
      <c r="BD3" s="1199"/>
      <c r="BE3" s="1199"/>
      <c r="BF3" s="1199"/>
      <c r="BG3" s="1200"/>
      <c r="BI3" s="1198"/>
      <c r="BJ3" s="1199"/>
      <c r="BK3" s="1199"/>
      <c r="BL3" s="1199"/>
      <c r="BM3" s="1200"/>
      <c r="BO3" s="529"/>
      <c r="BP3" s="1198"/>
      <c r="BQ3" s="1199"/>
      <c r="BR3" s="1199"/>
      <c r="BS3" s="1199"/>
      <c r="BT3" s="1200"/>
      <c r="BV3" s="529"/>
      <c r="BW3" s="1198"/>
      <c r="BX3" s="1199"/>
      <c r="BY3" s="1199"/>
      <c r="BZ3" s="1199"/>
      <c r="CA3" s="1200"/>
    </row>
    <row r="4" spans="1:79" x14ac:dyDescent="0.25">
      <c r="A4" s="150" t="s">
        <v>81</v>
      </c>
      <c r="B4" s="496">
        <v>52600</v>
      </c>
      <c r="C4" s="151">
        <v>368</v>
      </c>
      <c r="D4" s="147">
        <v>394</v>
      </c>
      <c r="E4" s="147">
        <v>473</v>
      </c>
      <c r="F4" s="147">
        <v>547</v>
      </c>
      <c r="G4" s="152">
        <v>610</v>
      </c>
      <c r="H4" s="151">
        <v>552</v>
      </c>
      <c r="I4" s="147">
        <v>592</v>
      </c>
      <c r="J4" s="147">
        <v>710</v>
      </c>
      <c r="K4" s="147">
        <v>820</v>
      </c>
      <c r="L4" s="147">
        <v>915</v>
      </c>
      <c r="M4" s="151">
        <v>737</v>
      </c>
      <c r="N4" s="147">
        <v>789</v>
      </c>
      <c r="O4" s="147">
        <v>947</v>
      </c>
      <c r="P4" s="147">
        <v>1094</v>
      </c>
      <c r="Q4" s="152">
        <v>1221</v>
      </c>
      <c r="R4" s="151">
        <v>921</v>
      </c>
      <c r="S4" s="147">
        <v>986</v>
      </c>
      <c r="T4" s="147">
        <v>1183</v>
      </c>
      <c r="U4" s="147">
        <v>1368</v>
      </c>
      <c r="V4" s="147">
        <v>1526</v>
      </c>
      <c r="W4" s="151">
        <v>1105</v>
      </c>
      <c r="X4" s="147">
        <v>1184</v>
      </c>
      <c r="Y4" s="147">
        <v>1420</v>
      </c>
      <c r="Z4" s="147">
        <v>1641</v>
      </c>
      <c r="AA4" s="152">
        <v>1831</v>
      </c>
      <c r="AB4" s="151">
        <v>1289</v>
      </c>
      <c r="AC4" s="147">
        <v>1381</v>
      </c>
      <c r="AD4" s="147">
        <v>1657</v>
      </c>
      <c r="AE4" s="147">
        <v>1915</v>
      </c>
      <c r="AF4" s="152">
        <v>2136</v>
      </c>
      <c r="AG4" s="151">
        <v>1474</v>
      </c>
      <c r="AH4" s="147">
        <v>1579</v>
      </c>
      <c r="AI4" s="147">
        <v>1894</v>
      </c>
      <c r="AJ4" s="147">
        <v>2189</v>
      </c>
      <c r="AK4" s="152">
        <v>2442</v>
      </c>
      <c r="AM4" s="151">
        <v>552</v>
      </c>
      <c r="AN4" s="147">
        <v>591</v>
      </c>
      <c r="AO4" s="147">
        <v>710</v>
      </c>
      <c r="AP4" s="147">
        <v>847</v>
      </c>
      <c r="AQ4" s="152">
        <v>1049</v>
      </c>
      <c r="AS4" s="151">
        <v>552</v>
      </c>
      <c r="AT4" s="147">
        <v>592</v>
      </c>
      <c r="AU4" s="147">
        <v>710</v>
      </c>
      <c r="AV4" s="147">
        <v>851</v>
      </c>
      <c r="AW4" s="152">
        <v>1049</v>
      </c>
      <c r="AX4" s="151">
        <v>921</v>
      </c>
      <c r="AY4" s="147">
        <v>986</v>
      </c>
      <c r="AZ4" s="147">
        <v>1183</v>
      </c>
      <c r="BA4" s="147">
        <v>1368</v>
      </c>
      <c r="BB4" s="152">
        <v>1526</v>
      </c>
      <c r="BC4" s="151">
        <v>921</v>
      </c>
      <c r="BD4" s="147">
        <v>986</v>
      </c>
      <c r="BE4" s="147">
        <v>1183</v>
      </c>
      <c r="BF4" s="147">
        <v>1368</v>
      </c>
      <c r="BG4" s="152">
        <v>1526</v>
      </c>
      <c r="BI4" s="151">
        <v>688</v>
      </c>
      <c r="BJ4" s="147">
        <v>692</v>
      </c>
      <c r="BK4" s="147">
        <v>859</v>
      </c>
      <c r="BL4" s="147">
        <v>1211</v>
      </c>
      <c r="BM4" s="152">
        <v>1458</v>
      </c>
      <c r="BO4" s="528" t="s">
        <v>81</v>
      </c>
      <c r="BP4" s="151">
        <v>688</v>
      </c>
      <c r="BQ4" s="147">
        <v>692</v>
      </c>
      <c r="BR4" s="147">
        <v>859</v>
      </c>
      <c r="BS4" s="147">
        <v>1211</v>
      </c>
      <c r="BT4" s="152">
        <v>1458</v>
      </c>
      <c r="BV4" s="528" t="s">
        <v>81</v>
      </c>
      <c r="BW4" s="151">
        <v>688</v>
      </c>
      <c r="BX4" s="147">
        <v>692</v>
      </c>
      <c r="BY4" s="147">
        <v>859</v>
      </c>
      <c r="BZ4" s="147">
        <v>1211</v>
      </c>
      <c r="CA4" s="152">
        <v>1458</v>
      </c>
    </row>
    <row r="5" spans="1:79" s="157" customFormat="1" x14ac:dyDescent="0.25">
      <c r="A5" s="153" t="s">
        <v>82</v>
      </c>
      <c r="B5" s="497">
        <v>50750</v>
      </c>
      <c r="C5" s="154">
        <v>355</v>
      </c>
      <c r="D5" s="155">
        <v>380</v>
      </c>
      <c r="E5" s="155">
        <v>457</v>
      </c>
      <c r="F5" s="155">
        <v>528</v>
      </c>
      <c r="G5" s="156">
        <v>589</v>
      </c>
      <c r="H5" s="154">
        <v>533</v>
      </c>
      <c r="I5" s="155">
        <v>571</v>
      </c>
      <c r="J5" s="155">
        <v>685</v>
      </c>
      <c r="K5" s="155">
        <v>792</v>
      </c>
      <c r="L5" s="155">
        <v>883</v>
      </c>
      <c r="M5" s="154">
        <v>711</v>
      </c>
      <c r="N5" s="155">
        <v>761</v>
      </c>
      <c r="O5" s="155">
        <v>914</v>
      </c>
      <c r="P5" s="155">
        <v>1056</v>
      </c>
      <c r="Q5" s="156">
        <v>1178</v>
      </c>
      <c r="R5" s="154">
        <v>888</v>
      </c>
      <c r="S5" s="155">
        <v>951</v>
      </c>
      <c r="T5" s="155">
        <v>1142</v>
      </c>
      <c r="U5" s="155">
        <v>1320</v>
      </c>
      <c r="V5" s="155">
        <v>1472</v>
      </c>
      <c r="W5" s="154">
        <v>1066</v>
      </c>
      <c r="X5" s="155">
        <v>1142</v>
      </c>
      <c r="Y5" s="155">
        <v>1371</v>
      </c>
      <c r="Z5" s="155">
        <v>1584</v>
      </c>
      <c r="AA5" s="156">
        <v>1767</v>
      </c>
      <c r="AB5" s="154">
        <v>1244</v>
      </c>
      <c r="AC5" s="155">
        <v>1332</v>
      </c>
      <c r="AD5" s="155">
        <v>1599</v>
      </c>
      <c r="AE5" s="155">
        <v>1848</v>
      </c>
      <c r="AF5" s="156">
        <v>2061</v>
      </c>
      <c r="AG5" s="154">
        <v>1422</v>
      </c>
      <c r="AH5" s="155">
        <v>1523</v>
      </c>
      <c r="AI5" s="155">
        <v>1828</v>
      </c>
      <c r="AJ5" s="155">
        <v>2112</v>
      </c>
      <c r="AK5" s="156">
        <v>2356</v>
      </c>
      <c r="AL5"/>
      <c r="AM5" s="154">
        <v>533</v>
      </c>
      <c r="AN5" s="155">
        <v>571</v>
      </c>
      <c r="AO5" s="155">
        <v>686</v>
      </c>
      <c r="AP5" s="155">
        <v>847</v>
      </c>
      <c r="AQ5" s="156">
        <v>1049</v>
      </c>
      <c r="AR5"/>
      <c r="AS5" s="154">
        <v>533</v>
      </c>
      <c r="AT5" s="155">
        <v>571</v>
      </c>
      <c r="AU5" s="155">
        <v>685</v>
      </c>
      <c r="AV5" s="155">
        <v>847</v>
      </c>
      <c r="AW5" s="156">
        <v>1049</v>
      </c>
      <c r="AX5" s="154">
        <v>888</v>
      </c>
      <c r="AY5" s="155">
        <v>951</v>
      </c>
      <c r="AZ5" s="155">
        <v>1142</v>
      </c>
      <c r="BA5" s="155">
        <v>1320</v>
      </c>
      <c r="BB5" s="156">
        <v>1472</v>
      </c>
      <c r="BC5" s="154">
        <v>888</v>
      </c>
      <c r="BD5" s="155">
        <v>951</v>
      </c>
      <c r="BE5" s="155">
        <v>1142</v>
      </c>
      <c r="BF5" s="155">
        <v>1320</v>
      </c>
      <c r="BG5" s="156">
        <v>1472</v>
      </c>
      <c r="BH5"/>
      <c r="BI5" s="154">
        <v>684</v>
      </c>
      <c r="BJ5" s="155">
        <v>689</v>
      </c>
      <c r="BK5" s="155">
        <v>905</v>
      </c>
      <c r="BL5" s="155">
        <v>1094</v>
      </c>
      <c r="BM5" s="156">
        <v>1359</v>
      </c>
      <c r="BN5"/>
      <c r="BO5" s="153" t="s">
        <v>82</v>
      </c>
      <c r="BP5" s="154">
        <v>684</v>
      </c>
      <c r="BQ5" s="155">
        <v>689</v>
      </c>
      <c r="BR5" s="155">
        <v>905</v>
      </c>
      <c r="BS5" s="155">
        <v>1094</v>
      </c>
      <c r="BT5" s="156">
        <v>1359</v>
      </c>
      <c r="BU5"/>
      <c r="BV5" s="153" t="s">
        <v>82</v>
      </c>
      <c r="BW5" s="154">
        <v>684</v>
      </c>
      <c r="BX5" s="155">
        <v>689</v>
      </c>
      <c r="BY5" s="155">
        <v>905</v>
      </c>
      <c r="BZ5" s="155">
        <v>1094</v>
      </c>
      <c r="CA5" s="156">
        <v>1359</v>
      </c>
    </row>
    <row r="6" spans="1:79" x14ac:dyDescent="0.25">
      <c r="A6" s="150" t="s">
        <v>83</v>
      </c>
      <c r="B6" s="496">
        <v>50750</v>
      </c>
      <c r="C6" s="151">
        <v>355</v>
      </c>
      <c r="D6" s="147">
        <v>380</v>
      </c>
      <c r="E6" s="147">
        <v>457</v>
      </c>
      <c r="F6" s="147">
        <v>528</v>
      </c>
      <c r="G6" s="152">
        <v>589</v>
      </c>
      <c r="H6" s="151">
        <v>533</v>
      </c>
      <c r="I6" s="147">
        <v>571</v>
      </c>
      <c r="J6" s="147">
        <v>685</v>
      </c>
      <c r="K6" s="147">
        <v>792</v>
      </c>
      <c r="L6" s="147">
        <v>883</v>
      </c>
      <c r="M6" s="151">
        <v>711</v>
      </c>
      <c r="N6" s="147">
        <v>761</v>
      </c>
      <c r="O6" s="147">
        <v>914</v>
      </c>
      <c r="P6" s="147">
        <v>1056</v>
      </c>
      <c r="Q6" s="152">
        <v>1178</v>
      </c>
      <c r="R6" s="151">
        <v>888</v>
      </c>
      <c r="S6" s="147">
        <v>951</v>
      </c>
      <c r="T6" s="147">
        <v>1142</v>
      </c>
      <c r="U6" s="147">
        <v>1320</v>
      </c>
      <c r="V6" s="147">
        <v>1472</v>
      </c>
      <c r="W6" s="151">
        <v>1066</v>
      </c>
      <c r="X6" s="147">
        <v>1142</v>
      </c>
      <c r="Y6" s="147">
        <v>1371</v>
      </c>
      <c r="Z6" s="147">
        <v>1584</v>
      </c>
      <c r="AA6" s="152">
        <v>1767</v>
      </c>
      <c r="AB6" s="151">
        <v>1244</v>
      </c>
      <c r="AC6" s="147">
        <v>1332</v>
      </c>
      <c r="AD6" s="147">
        <v>1599</v>
      </c>
      <c r="AE6" s="147">
        <v>1848</v>
      </c>
      <c r="AF6" s="152">
        <v>2061</v>
      </c>
      <c r="AG6" s="151">
        <v>1422</v>
      </c>
      <c r="AH6" s="147">
        <v>1523</v>
      </c>
      <c r="AI6" s="147">
        <v>1828</v>
      </c>
      <c r="AJ6" s="147">
        <v>2112</v>
      </c>
      <c r="AK6" s="152">
        <v>2356</v>
      </c>
      <c r="AM6" s="151">
        <v>533</v>
      </c>
      <c r="AN6" s="147">
        <v>571</v>
      </c>
      <c r="AO6" s="147">
        <v>686</v>
      </c>
      <c r="AP6" s="147">
        <v>847</v>
      </c>
      <c r="AQ6" s="152">
        <v>1049</v>
      </c>
      <c r="AS6" s="151">
        <v>533</v>
      </c>
      <c r="AT6" s="147">
        <v>571</v>
      </c>
      <c r="AU6" s="147">
        <v>685</v>
      </c>
      <c r="AV6" s="147">
        <v>847</v>
      </c>
      <c r="AW6" s="152">
        <v>1049</v>
      </c>
      <c r="AX6" s="151">
        <v>888</v>
      </c>
      <c r="AY6" s="147">
        <v>951</v>
      </c>
      <c r="AZ6" s="147">
        <v>1142</v>
      </c>
      <c r="BA6" s="147">
        <v>1320</v>
      </c>
      <c r="BB6" s="152">
        <v>1472</v>
      </c>
      <c r="BC6" s="151">
        <v>888</v>
      </c>
      <c r="BD6" s="147">
        <v>951</v>
      </c>
      <c r="BE6" s="147">
        <v>1142</v>
      </c>
      <c r="BF6" s="147">
        <v>1320</v>
      </c>
      <c r="BG6" s="152">
        <v>1472</v>
      </c>
      <c r="BI6" s="151">
        <v>745</v>
      </c>
      <c r="BJ6" s="147">
        <v>765</v>
      </c>
      <c r="BK6" s="147">
        <v>859</v>
      </c>
      <c r="BL6" s="147">
        <v>1172</v>
      </c>
      <c r="BM6" s="152">
        <v>1458</v>
      </c>
      <c r="BO6" s="150" t="s">
        <v>83</v>
      </c>
      <c r="BP6" s="151">
        <v>745</v>
      </c>
      <c r="BQ6" s="147">
        <v>765</v>
      </c>
      <c r="BR6" s="147">
        <v>859</v>
      </c>
      <c r="BS6" s="147">
        <v>1172</v>
      </c>
      <c r="BT6" s="152">
        <v>1458</v>
      </c>
      <c r="BV6" s="150" t="s">
        <v>83</v>
      </c>
      <c r="BW6" s="151">
        <v>745</v>
      </c>
      <c r="BX6" s="147">
        <v>765</v>
      </c>
      <c r="BY6" s="147">
        <v>859</v>
      </c>
      <c r="BZ6" s="147">
        <v>1172</v>
      </c>
      <c r="CA6" s="152">
        <v>1458</v>
      </c>
    </row>
    <row r="7" spans="1:79" s="157" customFormat="1" x14ac:dyDescent="0.25">
      <c r="A7" s="153" t="s">
        <v>84</v>
      </c>
      <c r="B7" s="497">
        <v>56850</v>
      </c>
      <c r="C7" s="154">
        <v>398</v>
      </c>
      <c r="D7" s="155">
        <v>426</v>
      </c>
      <c r="E7" s="155">
        <v>512</v>
      </c>
      <c r="F7" s="155">
        <v>591</v>
      </c>
      <c r="G7" s="156">
        <v>659</v>
      </c>
      <c r="H7" s="154">
        <v>597</v>
      </c>
      <c r="I7" s="155">
        <v>639</v>
      </c>
      <c r="J7" s="155">
        <v>768</v>
      </c>
      <c r="K7" s="155">
        <v>886</v>
      </c>
      <c r="L7" s="155">
        <v>989</v>
      </c>
      <c r="M7" s="154">
        <v>796</v>
      </c>
      <c r="N7" s="155">
        <v>853</v>
      </c>
      <c r="O7" s="155">
        <v>1024</v>
      </c>
      <c r="P7" s="155">
        <v>1182</v>
      </c>
      <c r="Q7" s="156">
        <v>1319</v>
      </c>
      <c r="R7" s="154">
        <v>995</v>
      </c>
      <c r="S7" s="155">
        <v>1066</v>
      </c>
      <c r="T7" s="155">
        <v>1280</v>
      </c>
      <c r="U7" s="155">
        <v>1478</v>
      </c>
      <c r="V7" s="155">
        <v>1648</v>
      </c>
      <c r="W7" s="154">
        <v>1194</v>
      </c>
      <c r="X7" s="155">
        <v>1279</v>
      </c>
      <c r="Y7" s="155">
        <v>1536</v>
      </c>
      <c r="Z7" s="155">
        <v>1773</v>
      </c>
      <c r="AA7" s="156">
        <v>1978</v>
      </c>
      <c r="AB7" s="154">
        <v>1393</v>
      </c>
      <c r="AC7" s="155">
        <v>1492</v>
      </c>
      <c r="AD7" s="155">
        <v>1792</v>
      </c>
      <c r="AE7" s="155">
        <v>2069</v>
      </c>
      <c r="AF7" s="156">
        <v>2308</v>
      </c>
      <c r="AG7" s="154">
        <v>1592</v>
      </c>
      <c r="AH7" s="155">
        <v>1706</v>
      </c>
      <c r="AI7" s="155">
        <v>2048</v>
      </c>
      <c r="AJ7" s="155">
        <v>2365</v>
      </c>
      <c r="AK7" s="156">
        <v>2638</v>
      </c>
      <c r="AL7"/>
      <c r="AM7" s="154">
        <v>597</v>
      </c>
      <c r="AN7" s="155">
        <v>640</v>
      </c>
      <c r="AO7" s="155">
        <v>767</v>
      </c>
      <c r="AP7" s="155">
        <v>886</v>
      </c>
      <c r="AQ7" s="156">
        <v>1049</v>
      </c>
      <c r="AR7"/>
      <c r="AS7" s="154">
        <v>597</v>
      </c>
      <c r="AT7" s="155">
        <v>639</v>
      </c>
      <c r="AU7" s="155">
        <v>768</v>
      </c>
      <c r="AV7" s="155">
        <v>886</v>
      </c>
      <c r="AW7" s="156">
        <v>1049</v>
      </c>
      <c r="AX7" s="154">
        <v>995</v>
      </c>
      <c r="AY7" s="155">
        <v>1066</v>
      </c>
      <c r="AZ7" s="155">
        <v>1280</v>
      </c>
      <c r="BA7" s="155">
        <v>1478</v>
      </c>
      <c r="BB7" s="156">
        <v>1648</v>
      </c>
      <c r="BC7" s="154">
        <v>995</v>
      </c>
      <c r="BD7" s="155">
        <v>1066</v>
      </c>
      <c r="BE7" s="155">
        <v>1280</v>
      </c>
      <c r="BF7" s="155">
        <v>1478</v>
      </c>
      <c r="BG7" s="156">
        <v>1648</v>
      </c>
      <c r="BH7"/>
      <c r="BI7" s="154">
        <v>720</v>
      </c>
      <c r="BJ7" s="155">
        <v>725</v>
      </c>
      <c r="BK7" s="155">
        <v>899</v>
      </c>
      <c r="BL7" s="155">
        <v>1267</v>
      </c>
      <c r="BM7" s="156">
        <v>1526</v>
      </c>
      <c r="BN7"/>
      <c r="BO7" s="153" t="s">
        <v>84</v>
      </c>
      <c r="BP7" s="154">
        <v>720</v>
      </c>
      <c r="BQ7" s="155">
        <v>725</v>
      </c>
      <c r="BR7" s="155">
        <v>899</v>
      </c>
      <c r="BS7" s="155">
        <v>1267</v>
      </c>
      <c r="BT7" s="156">
        <v>1526</v>
      </c>
      <c r="BU7"/>
      <c r="BV7" s="153" t="s">
        <v>84</v>
      </c>
      <c r="BW7" s="154">
        <v>720</v>
      </c>
      <c r="BX7" s="155">
        <v>725</v>
      </c>
      <c r="BY7" s="155">
        <v>899</v>
      </c>
      <c r="BZ7" s="155">
        <v>1267</v>
      </c>
      <c r="CA7" s="156">
        <v>1526</v>
      </c>
    </row>
    <row r="8" spans="1:79" x14ac:dyDescent="0.25">
      <c r="A8" s="150" t="s">
        <v>85</v>
      </c>
      <c r="B8" s="496">
        <v>53850</v>
      </c>
      <c r="C8" s="151">
        <v>377</v>
      </c>
      <c r="D8" s="147">
        <v>404</v>
      </c>
      <c r="E8" s="147">
        <v>485</v>
      </c>
      <c r="F8" s="147">
        <v>560</v>
      </c>
      <c r="G8" s="152">
        <v>625</v>
      </c>
      <c r="H8" s="151">
        <v>565</v>
      </c>
      <c r="I8" s="147">
        <v>606</v>
      </c>
      <c r="J8" s="147">
        <v>727</v>
      </c>
      <c r="K8" s="147">
        <v>840</v>
      </c>
      <c r="L8" s="147">
        <v>937</v>
      </c>
      <c r="M8" s="151">
        <v>754</v>
      </c>
      <c r="N8" s="147">
        <v>808</v>
      </c>
      <c r="O8" s="147">
        <v>970</v>
      </c>
      <c r="P8" s="147">
        <v>1120</v>
      </c>
      <c r="Q8" s="152">
        <v>1250</v>
      </c>
      <c r="R8" s="151">
        <v>942</v>
      </c>
      <c r="S8" s="147">
        <v>1010</v>
      </c>
      <c r="T8" s="147">
        <v>1212</v>
      </c>
      <c r="U8" s="147">
        <v>1400</v>
      </c>
      <c r="V8" s="147">
        <v>1562</v>
      </c>
      <c r="W8" s="151">
        <v>1131</v>
      </c>
      <c r="X8" s="147">
        <v>1212</v>
      </c>
      <c r="Y8" s="147">
        <v>1455</v>
      </c>
      <c r="Z8" s="147">
        <v>1680</v>
      </c>
      <c r="AA8" s="152">
        <v>1875</v>
      </c>
      <c r="AB8" s="151">
        <v>1319</v>
      </c>
      <c r="AC8" s="147">
        <v>1414</v>
      </c>
      <c r="AD8" s="147">
        <v>1697</v>
      </c>
      <c r="AE8" s="147">
        <v>1960</v>
      </c>
      <c r="AF8" s="152">
        <v>2187</v>
      </c>
      <c r="AG8" s="151">
        <v>1508</v>
      </c>
      <c r="AH8" s="147">
        <v>1616</v>
      </c>
      <c r="AI8" s="147">
        <v>1940</v>
      </c>
      <c r="AJ8" s="147">
        <v>2241</v>
      </c>
      <c r="AK8" s="152">
        <v>2500</v>
      </c>
      <c r="AM8" s="151">
        <v>566</v>
      </c>
      <c r="AN8" s="147">
        <v>606</v>
      </c>
      <c r="AO8" s="147">
        <v>727</v>
      </c>
      <c r="AP8" s="147">
        <v>847</v>
      </c>
      <c r="AQ8" s="152">
        <v>1049</v>
      </c>
      <c r="AS8" s="151">
        <v>565</v>
      </c>
      <c r="AT8" s="147">
        <v>606</v>
      </c>
      <c r="AU8" s="147">
        <v>727</v>
      </c>
      <c r="AV8" s="147">
        <v>861</v>
      </c>
      <c r="AW8" s="152">
        <v>1049</v>
      </c>
      <c r="AX8" s="151">
        <v>942</v>
      </c>
      <c r="AY8" s="147">
        <v>1010</v>
      </c>
      <c r="AZ8" s="147">
        <v>1212</v>
      </c>
      <c r="BA8" s="147">
        <v>1400</v>
      </c>
      <c r="BB8" s="152">
        <v>1562</v>
      </c>
      <c r="BC8" s="151">
        <v>942</v>
      </c>
      <c r="BD8" s="147">
        <v>1010</v>
      </c>
      <c r="BE8" s="147">
        <v>1212</v>
      </c>
      <c r="BF8" s="147">
        <v>1400</v>
      </c>
      <c r="BG8" s="152">
        <v>1562</v>
      </c>
      <c r="BI8" s="151">
        <v>650</v>
      </c>
      <c r="BJ8" s="147">
        <v>654</v>
      </c>
      <c r="BK8" s="147">
        <v>859</v>
      </c>
      <c r="BL8" s="147">
        <v>1119</v>
      </c>
      <c r="BM8" s="152">
        <v>1458</v>
      </c>
      <c r="BO8" s="150" t="s">
        <v>85</v>
      </c>
      <c r="BP8" s="151">
        <v>650</v>
      </c>
      <c r="BQ8" s="147">
        <v>654</v>
      </c>
      <c r="BR8" s="147">
        <v>859</v>
      </c>
      <c r="BS8" s="147">
        <v>1119</v>
      </c>
      <c r="BT8" s="152">
        <v>1458</v>
      </c>
      <c r="BV8" s="150" t="s">
        <v>85</v>
      </c>
      <c r="BW8" s="151">
        <v>650</v>
      </c>
      <c r="BX8" s="147">
        <v>654</v>
      </c>
      <c r="BY8" s="147">
        <v>859</v>
      </c>
      <c r="BZ8" s="147">
        <v>1119</v>
      </c>
      <c r="CA8" s="152">
        <v>1458</v>
      </c>
    </row>
    <row r="9" spans="1:79" s="157" customFormat="1" x14ac:dyDescent="0.25">
      <c r="A9" s="153" t="s">
        <v>86</v>
      </c>
      <c r="B9" s="497">
        <v>50750</v>
      </c>
      <c r="C9" s="154">
        <v>355</v>
      </c>
      <c r="D9" s="155">
        <v>380</v>
      </c>
      <c r="E9" s="155">
        <v>457</v>
      </c>
      <c r="F9" s="155">
        <v>528</v>
      </c>
      <c r="G9" s="156">
        <v>589</v>
      </c>
      <c r="H9" s="154">
        <v>533</v>
      </c>
      <c r="I9" s="155">
        <v>571</v>
      </c>
      <c r="J9" s="155">
        <v>685</v>
      </c>
      <c r="K9" s="155">
        <v>792</v>
      </c>
      <c r="L9" s="155">
        <v>883</v>
      </c>
      <c r="M9" s="154">
        <v>711</v>
      </c>
      <c r="N9" s="155">
        <v>761</v>
      </c>
      <c r="O9" s="155">
        <v>914</v>
      </c>
      <c r="P9" s="155">
        <v>1056</v>
      </c>
      <c r="Q9" s="156">
        <v>1178</v>
      </c>
      <c r="R9" s="154">
        <v>888</v>
      </c>
      <c r="S9" s="155">
        <v>951</v>
      </c>
      <c r="T9" s="155">
        <v>1142</v>
      </c>
      <c r="U9" s="155">
        <v>1320</v>
      </c>
      <c r="V9" s="155">
        <v>1472</v>
      </c>
      <c r="W9" s="154">
        <v>1066</v>
      </c>
      <c r="X9" s="155">
        <v>1142</v>
      </c>
      <c r="Y9" s="155">
        <v>1371</v>
      </c>
      <c r="Z9" s="155">
        <v>1584</v>
      </c>
      <c r="AA9" s="156">
        <v>1767</v>
      </c>
      <c r="AB9" s="154">
        <v>1244</v>
      </c>
      <c r="AC9" s="155">
        <v>1332</v>
      </c>
      <c r="AD9" s="155">
        <v>1599</v>
      </c>
      <c r="AE9" s="155">
        <v>1848</v>
      </c>
      <c r="AF9" s="156">
        <v>2061</v>
      </c>
      <c r="AG9" s="154">
        <v>1422</v>
      </c>
      <c r="AH9" s="155">
        <v>1523</v>
      </c>
      <c r="AI9" s="155">
        <v>1828</v>
      </c>
      <c r="AJ9" s="155">
        <v>2112</v>
      </c>
      <c r="AK9" s="156">
        <v>2356</v>
      </c>
      <c r="AL9"/>
      <c r="AM9" s="154">
        <v>533</v>
      </c>
      <c r="AN9" s="155">
        <v>571</v>
      </c>
      <c r="AO9" s="155">
        <v>686</v>
      </c>
      <c r="AP9" s="155">
        <v>847</v>
      </c>
      <c r="AQ9" s="156">
        <v>1049</v>
      </c>
      <c r="AR9"/>
      <c r="AS9" s="154">
        <v>533</v>
      </c>
      <c r="AT9" s="155">
        <v>571</v>
      </c>
      <c r="AU9" s="155">
        <v>685</v>
      </c>
      <c r="AV9" s="155">
        <v>847</v>
      </c>
      <c r="AW9" s="156">
        <v>1049</v>
      </c>
      <c r="AX9" s="154">
        <v>888</v>
      </c>
      <c r="AY9" s="155">
        <v>951</v>
      </c>
      <c r="AZ9" s="155">
        <v>1142</v>
      </c>
      <c r="BA9" s="155">
        <v>1320</v>
      </c>
      <c r="BB9" s="156">
        <v>1472</v>
      </c>
      <c r="BC9" s="154">
        <v>888</v>
      </c>
      <c r="BD9" s="155">
        <v>951</v>
      </c>
      <c r="BE9" s="155">
        <v>1142</v>
      </c>
      <c r="BF9" s="155">
        <v>1320</v>
      </c>
      <c r="BG9" s="156">
        <v>1472</v>
      </c>
      <c r="BH9"/>
      <c r="BI9" s="154">
        <v>745</v>
      </c>
      <c r="BJ9" s="155">
        <v>765</v>
      </c>
      <c r="BK9" s="155">
        <v>859</v>
      </c>
      <c r="BL9" s="155">
        <v>1211</v>
      </c>
      <c r="BM9" s="156">
        <v>1261</v>
      </c>
      <c r="BN9"/>
      <c r="BO9" s="153" t="s">
        <v>86</v>
      </c>
      <c r="BP9" s="154">
        <v>745</v>
      </c>
      <c r="BQ9" s="155">
        <v>765</v>
      </c>
      <c r="BR9" s="155">
        <v>859</v>
      </c>
      <c r="BS9" s="155">
        <v>1211</v>
      </c>
      <c r="BT9" s="156">
        <v>1261</v>
      </c>
      <c r="BU9"/>
      <c r="BV9" s="153" t="s">
        <v>86</v>
      </c>
      <c r="BW9" s="154">
        <v>745</v>
      </c>
      <c r="BX9" s="155">
        <v>765</v>
      </c>
      <c r="BY9" s="155">
        <v>859</v>
      </c>
      <c r="BZ9" s="155">
        <v>1211</v>
      </c>
      <c r="CA9" s="156">
        <v>1261</v>
      </c>
    </row>
    <row r="10" spans="1:79" x14ac:dyDescent="0.25">
      <c r="A10" s="150" t="s">
        <v>87</v>
      </c>
      <c r="B10" s="496">
        <v>59200</v>
      </c>
      <c r="C10" s="151">
        <v>414</v>
      </c>
      <c r="D10" s="147">
        <v>444</v>
      </c>
      <c r="E10" s="147">
        <v>533</v>
      </c>
      <c r="F10" s="147">
        <v>615</v>
      </c>
      <c r="G10" s="152">
        <v>687</v>
      </c>
      <c r="H10" s="151">
        <v>621</v>
      </c>
      <c r="I10" s="147">
        <v>666</v>
      </c>
      <c r="J10" s="147">
        <v>799</v>
      </c>
      <c r="K10" s="147">
        <v>923</v>
      </c>
      <c r="L10" s="147">
        <v>1030</v>
      </c>
      <c r="M10" s="151">
        <v>829</v>
      </c>
      <c r="N10" s="147">
        <v>888</v>
      </c>
      <c r="O10" s="147">
        <v>1066</v>
      </c>
      <c r="P10" s="147">
        <v>1231</v>
      </c>
      <c r="Q10" s="152">
        <v>1374</v>
      </c>
      <c r="R10" s="151">
        <v>1036</v>
      </c>
      <c r="S10" s="147">
        <v>1110</v>
      </c>
      <c r="T10" s="147">
        <v>1332</v>
      </c>
      <c r="U10" s="147">
        <v>1539</v>
      </c>
      <c r="V10" s="147">
        <v>1717</v>
      </c>
      <c r="W10" s="151">
        <v>1243</v>
      </c>
      <c r="X10" s="147">
        <v>1332</v>
      </c>
      <c r="Y10" s="147">
        <v>1599</v>
      </c>
      <c r="Z10" s="147">
        <v>1847</v>
      </c>
      <c r="AA10" s="152">
        <v>2061</v>
      </c>
      <c r="AB10" s="151">
        <v>1450</v>
      </c>
      <c r="AC10" s="147">
        <v>1554</v>
      </c>
      <c r="AD10" s="147">
        <v>1865</v>
      </c>
      <c r="AE10" s="147">
        <v>2155</v>
      </c>
      <c r="AF10" s="152">
        <v>2404</v>
      </c>
      <c r="AG10" s="151">
        <v>1658</v>
      </c>
      <c r="AH10" s="147">
        <v>1777</v>
      </c>
      <c r="AI10" s="147">
        <v>2132</v>
      </c>
      <c r="AJ10" s="147">
        <v>2463</v>
      </c>
      <c r="AK10" s="152">
        <v>2748</v>
      </c>
      <c r="AM10" s="151">
        <v>621</v>
      </c>
      <c r="AN10" s="147">
        <v>665</v>
      </c>
      <c r="AO10" s="147">
        <v>798</v>
      </c>
      <c r="AP10" s="147">
        <v>923</v>
      </c>
      <c r="AQ10" s="152">
        <v>1049</v>
      </c>
      <c r="AS10" s="151">
        <v>621</v>
      </c>
      <c r="AT10" s="147">
        <v>666</v>
      </c>
      <c r="AU10" s="147">
        <v>799</v>
      </c>
      <c r="AV10" s="147">
        <v>923</v>
      </c>
      <c r="AW10" s="152">
        <v>1049</v>
      </c>
      <c r="AX10" s="151">
        <v>1036</v>
      </c>
      <c r="AY10" s="147">
        <v>1110</v>
      </c>
      <c r="AZ10" s="147">
        <v>1332</v>
      </c>
      <c r="BA10" s="147">
        <v>1539</v>
      </c>
      <c r="BB10" s="152">
        <v>1717</v>
      </c>
      <c r="BC10" s="151">
        <v>1036</v>
      </c>
      <c r="BD10" s="147">
        <v>1110</v>
      </c>
      <c r="BE10" s="147">
        <v>1332</v>
      </c>
      <c r="BF10" s="147">
        <v>1539</v>
      </c>
      <c r="BG10" s="152">
        <v>1717</v>
      </c>
      <c r="BI10" s="151">
        <v>649</v>
      </c>
      <c r="BJ10" s="147">
        <v>654</v>
      </c>
      <c r="BK10" s="147">
        <v>859</v>
      </c>
      <c r="BL10" s="147">
        <v>1039</v>
      </c>
      <c r="BM10" s="152">
        <v>1458</v>
      </c>
      <c r="BO10" s="150" t="s">
        <v>87</v>
      </c>
      <c r="BP10" s="151">
        <v>649</v>
      </c>
      <c r="BQ10" s="147">
        <v>654</v>
      </c>
      <c r="BR10" s="147">
        <v>859</v>
      </c>
      <c r="BS10" s="147">
        <v>1039</v>
      </c>
      <c r="BT10" s="152">
        <v>1458</v>
      </c>
      <c r="BV10" s="150" t="s">
        <v>87</v>
      </c>
      <c r="BW10" s="151">
        <v>649</v>
      </c>
      <c r="BX10" s="147">
        <v>654</v>
      </c>
      <c r="BY10" s="147">
        <v>859</v>
      </c>
      <c r="BZ10" s="147">
        <v>1039</v>
      </c>
      <c r="CA10" s="152">
        <v>1458</v>
      </c>
    </row>
    <row r="11" spans="1:79" s="157" customFormat="1" x14ac:dyDescent="0.25">
      <c r="A11" s="153" t="s">
        <v>88</v>
      </c>
      <c r="B11" s="497">
        <v>54250</v>
      </c>
      <c r="C11" s="154">
        <v>380</v>
      </c>
      <c r="D11" s="155">
        <v>407</v>
      </c>
      <c r="E11" s="155">
        <v>488</v>
      </c>
      <c r="F11" s="155">
        <v>564</v>
      </c>
      <c r="G11" s="156">
        <v>629</v>
      </c>
      <c r="H11" s="154">
        <v>570</v>
      </c>
      <c r="I11" s="155">
        <v>610</v>
      </c>
      <c r="J11" s="155">
        <v>732</v>
      </c>
      <c r="K11" s="155">
        <v>846</v>
      </c>
      <c r="L11" s="155">
        <v>944</v>
      </c>
      <c r="M11" s="154">
        <v>760</v>
      </c>
      <c r="N11" s="155">
        <v>814</v>
      </c>
      <c r="O11" s="155">
        <v>977</v>
      </c>
      <c r="P11" s="155">
        <v>1128</v>
      </c>
      <c r="Q11" s="156">
        <v>1259</v>
      </c>
      <c r="R11" s="154">
        <v>950</v>
      </c>
      <c r="S11" s="155">
        <v>1017</v>
      </c>
      <c r="T11" s="155">
        <v>1221</v>
      </c>
      <c r="U11" s="155">
        <v>1410</v>
      </c>
      <c r="V11" s="155">
        <v>1573</v>
      </c>
      <c r="W11" s="154">
        <v>1140</v>
      </c>
      <c r="X11" s="155">
        <v>1221</v>
      </c>
      <c r="Y11" s="155">
        <v>1465</v>
      </c>
      <c r="Z11" s="155">
        <v>1692</v>
      </c>
      <c r="AA11" s="156">
        <v>1888</v>
      </c>
      <c r="AB11" s="154">
        <v>1330</v>
      </c>
      <c r="AC11" s="155">
        <v>1424</v>
      </c>
      <c r="AD11" s="155">
        <v>1709</v>
      </c>
      <c r="AE11" s="155">
        <v>1974</v>
      </c>
      <c r="AF11" s="156">
        <v>2203</v>
      </c>
      <c r="AG11" s="154">
        <v>1520</v>
      </c>
      <c r="AH11" s="155">
        <v>1628</v>
      </c>
      <c r="AI11" s="155">
        <v>1954</v>
      </c>
      <c r="AJ11" s="155">
        <v>2257</v>
      </c>
      <c r="AK11" s="156">
        <v>2518</v>
      </c>
      <c r="AL11"/>
      <c r="AM11" s="154">
        <v>570</v>
      </c>
      <c r="AN11" s="155">
        <v>610</v>
      </c>
      <c r="AO11" s="155">
        <v>732</v>
      </c>
      <c r="AP11" s="155">
        <v>847</v>
      </c>
      <c r="AQ11" s="156">
        <v>1049</v>
      </c>
      <c r="AR11"/>
      <c r="AS11" s="154">
        <v>570</v>
      </c>
      <c r="AT11" s="155">
        <v>610</v>
      </c>
      <c r="AU11" s="155">
        <v>732</v>
      </c>
      <c r="AV11" s="155">
        <v>864</v>
      </c>
      <c r="AW11" s="156">
        <v>1049</v>
      </c>
      <c r="AX11" s="154">
        <v>950</v>
      </c>
      <c r="AY11" s="155">
        <v>1017</v>
      </c>
      <c r="AZ11" s="155">
        <v>1221</v>
      </c>
      <c r="BA11" s="155">
        <v>1410</v>
      </c>
      <c r="BB11" s="156">
        <v>1573</v>
      </c>
      <c r="BC11" s="154">
        <v>950</v>
      </c>
      <c r="BD11" s="155">
        <v>1017</v>
      </c>
      <c r="BE11" s="155">
        <v>1221</v>
      </c>
      <c r="BF11" s="155">
        <v>1410</v>
      </c>
      <c r="BG11" s="156">
        <v>1573</v>
      </c>
      <c r="BH11"/>
      <c r="BI11" s="154">
        <v>764</v>
      </c>
      <c r="BJ11" s="155">
        <v>848</v>
      </c>
      <c r="BK11" s="155">
        <v>955</v>
      </c>
      <c r="BL11" s="155">
        <v>1346</v>
      </c>
      <c r="BM11" s="156">
        <v>1621</v>
      </c>
      <c r="BN11"/>
      <c r="BO11" s="153" t="s">
        <v>88</v>
      </c>
      <c r="BP11" s="154">
        <v>764</v>
      </c>
      <c r="BQ11" s="155">
        <v>848</v>
      </c>
      <c r="BR11" s="155">
        <v>955</v>
      </c>
      <c r="BS11" s="155">
        <v>1346</v>
      </c>
      <c r="BT11" s="156">
        <v>1575</v>
      </c>
      <c r="BU11"/>
      <c r="BV11" s="153" t="s">
        <v>88</v>
      </c>
      <c r="BW11" s="154">
        <v>764</v>
      </c>
      <c r="BX11" s="155">
        <v>848</v>
      </c>
      <c r="BY11" s="155">
        <v>955</v>
      </c>
      <c r="BZ11" s="155">
        <v>1346</v>
      </c>
      <c r="CA11" s="156">
        <v>1621</v>
      </c>
    </row>
    <row r="12" spans="1:79" x14ac:dyDescent="0.25">
      <c r="A12" s="150" t="s">
        <v>89</v>
      </c>
      <c r="B12" s="496">
        <v>52950</v>
      </c>
      <c r="C12" s="151">
        <v>371</v>
      </c>
      <c r="D12" s="147">
        <v>397</v>
      </c>
      <c r="E12" s="147">
        <v>477</v>
      </c>
      <c r="F12" s="147">
        <v>550</v>
      </c>
      <c r="G12" s="152">
        <v>614</v>
      </c>
      <c r="H12" s="151">
        <v>556</v>
      </c>
      <c r="I12" s="147">
        <v>596</v>
      </c>
      <c r="J12" s="147">
        <v>715</v>
      </c>
      <c r="K12" s="147">
        <v>826</v>
      </c>
      <c r="L12" s="147">
        <v>921</v>
      </c>
      <c r="M12" s="151">
        <v>742</v>
      </c>
      <c r="N12" s="147">
        <v>795</v>
      </c>
      <c r="O12" s="147">
        <v>954</v>
      </c>
      <c r="P12" s="147">
        <v>1101</v>
      </c>
      <c r="Q12" s="152">
        <v>1229</v>
      </c>
      <c r="R12" s="151">
        <v>927</v>
      </c>
      <c r="S12" s="147">
        <v>993</v>
      </c>
      <c r="T12" s="147">
        <v>1192</v>
      </c>
      <c r="U12" s="147">
        <v>1376</v>
      </c>
      <c r="V12" s="147">
        <v>1536</v>
      </c>
      <c r="W12" s="151">
        <v>1113</v>
      </c>
      <c r="X12" s="147">
        <v>1192</v>
      </c>
      <c r="Y12" s="147">
        <v>1431</v>
      </c>
      <c r="Z12" s="147">
        <v>1652</v>
      </c>
      <c r="AA12" s="152">
        <v>1843</v>
      </c>
      <c r="AB12" s="151">
        <v>1298</v>
      </c>
      <c r="AC12" s="147">
        <v>1391</v>
      </c>
      <c r="AD12" s="147">
        <v>1669</v>
      </c>
      <c r="AE12" s="147">
        <v>1927</v>
      </c>
      <c r="AF12" s="152">
        <v>2150</v>
      </c>
      <c r="AG12" s="151">
        <v>1484</v>
      </c>
      <c r="AH12" s="147">
        <v>1590</v>
      </c>
      <c r="AI12" s="147">
        <v>1908</v>
      </c>
      <c r="AJ12" s="147">
        <v>2203</v>
      </c>
      <c r="AK12" s="152">
        <v>2458</v>
      </c>
      <c r="AM12" s="151">
        <v>556</v>
      </c>
      <c r="AN12" s="147">
        <v>595</v>
      </c>
      <c r="AO12" s="147">
        <v>715</v>
      </c>
      <c r="AP12" s="147">
        <v>847</v>
      </c>
      <c r="AQ12" s="152">
        <v>1049</v>
      </c>
      <c r="AS12" s="151">
        <v>556</v>
      </c>
      <c r="AT12" s="147">
        <v>596</v>
      </c>
      <c r="AU12" s="147">
        <v>715</v>
      </c>
      <c r="AV12" s="147">
        <v>854</v>
      </c>
      <c r="AW12" s="152">
        <v>1049</v>
      </c>
      <c r="AX12" s="151">
        <v>927</v>
      </c>
      <c r="AY12" s="147">
        <v>993</v>
      </c>
      <c r="AZ12" s="147">
        <v>1192</v>
      </c>
      <c r="BA12" s="147">
        <v>1376</v>
      </c>
      <c r="BB12" s="152">
        <v>1536</v>
      </c>
      <c r="BC12" s="151">
        <v>927</v>
      </c>
      <c r="BD12" s="147">
        <v>993</v>
      </c>
      <c r="BE12" s="147">
        <v>1192</v>
      </c>
      <c r="BF12" s="147">
        <v>1376</v>
      </c>
      <c r="BG12" s="152">
        <v>1536</v>
      </c>
      <c r="BI12" s="151">
        <v>656</v>
      </c>
      <c r="BJ12" s="147">
        <v>781</v>
      </c>
      <c r="BK12" s="147">
        <v>944</v>
      </c>
      <c r="BL12" s="147">
        <v>1330</v>
      </c>
      <c r="BM12" s="152">
        <v>1602</v>
      </c>
      <c r="BO12" s="150" t="s">
        <v>89</v>
      </c>
      <c r="BP12" s="151">
        <v>656</v>
      </c>
      <c r="BQ12" s="147">
        <v>781</v>
      </c>
      <c r="BR12" s="147">
        <v>944</v>
      </c>
      <c r="BS12" s="147">
        <v>1330</v>
      </c>
      <c r="BT12" s="152">
        <v>1536</v>
      </c>
      <c r="BV12" s="150" t="s">
        <v>89</v>
      </c>
      <c r="BW12" s="151">
        <v>656</v>
      </c>
      <c r="BX12" s="147">
        <v>781</v>
      </c>
      <c r="BY12" s="147">
        <v>944</v>
      </c>
      <c r="BZ12" s="147">
        <v>1330</v>
      </c>
      <c r="CA12" s="152">
        <v>1602</v>
      </c>
    </row>
    <row r="13" spans="1:79" s="157" customFormat="1" x14ac:dyDescent="0.25">
      <c r="A13" s="153" t="s">
        <v>90</v>
      </c>
      <c r="B13" s="497">
        <v>50750</v>
      </c>
      <c r="C13" s="154">
        <v>355</v>
      </c>
      <c r="D13" s="155">
        <v>380</v>
      </c>
      <c r="E13" s="155">
        <v>457</v>
      </c>
      <c r="F13" s="155">
        <v>528</v>
      </c>
      <c r="G13" s="156">
        <v>589</v>
      </c>
      <c r="H13" s="154">
        <v>533</v>
      </c>
      <c r="I13" s="155">
        <v>571</v>
      </c>
      <c r="J13" s="155">
        <v>685</v>
      </c>
      <c r="K13" s="155">
        <v>792</v>
      </c>
      <c r="L13" s="155">
        <v>883</v>
      </c>
      <c r="M13" s="154">
        <v>711</v>
      </c>
      <c r="N13" s="155">
        <v>761</v>
      </c>
      <c r="O13" s="155">
        <v>914</v>
      </c>
      <c r="P13" s="155">
        <v>1056</v>
      </c>
      <c r="Q13" s="156">
        <v>1178</v>
      </c>
      <c r="R13" s="154">
        <v>888</v>
      </c>
      <c r="S13" s="155">
        <v>951</v>
      </c>
      <c r="T13" s="155">
        <v>1142</v>
      </c>
      <c r="U13" s="155">
        <v>1320</v>
      </c>
      <c r="V13" s="155">
        <v>1472</v>
      </c>
      <c r="W13" s="154">
        <v>1066</v>
      </c>
      <c r="X13" s="155">
        <v>1142</v>
      </c>
      <c r="Y13" s="155">
        <v>1371</v>
      </c>
      <c r="Z13" s="155">
        <v>1584</v>
      </c>
      <c r="AA13" s="156">
        <v>1767</v>
      </c>
      <c r="AB13" s="154">
        <v>1244</v>
      </c>
      <c r="AC13" s="155">
        <v>1332</v>
      </c>
      <c r="AD13" s="155">
        <v>1599</v>
      </c>
      <c r="AE13" s="155">
        <v>1848</v>
      </c>
      <c r="AF13" s="156">
        <v>2061</v>
      </c>
      <c r="AG13" s="154">
        <v>1422</v>
      </c>
      <c r="AH13" s="155">
        <v>1523</v>
      </c>
      <c r="AI13" s="155">
        <v>1828</v>
      </c>
      <c r="AJ13" s="155">
        <v>2112</v>
      </c>
      <c r="AK13" s="156">
        <v>2356</v>
      </c>
      <c r="AL13"/>
      <c r="AM13" s="154">
        <v>533</v>
      </c>
      <c r="AN13" s="155">
        <v>571</v>
      </c>
      <c r="AO13" s="155">
        <v>686</v>
      </c>
      <c r="AP13" s="155">
        <v>847</v>
      </c>
      <c r="AQ13" s="156">
        <v>1049</v>
      </c>
      <c r="AR13"/>
      <c r="AS13" s="154">
        <v>533</v>
      </c>
      <c r="AT13" s="155">
        <v>571</v>
      </c>
      <c r="AU13" s="155">
        <v>685</v>
      </c>
      <c r="AV13" s="155">
        <v>847</v>
      </c>
      <c r="AW13" s="156">
        <v>1049</v>
      </c>
      <c r="AX13" s="154">
        <v>888</v>
      </c>
      <c r="AY13" s="155">
        <v>951</v>
      </c>
      <c r="AZ13" s="155">
        <v>1142</v>
      </c>
      <c r="BA13" s="155">
        <v>1320</v>
      </c>
      <c r="BB13" s="156">
        <v>1472</v>
      </c>
      <c r="BC13" s="154">
        <v>888</v>
      </c>
      <c r="BD13" s="155">
        <v>951</v>
      </c>
      <c r="BE13" s="155">
        <v>1142</v>
      </c>
      <c r="BF13" s="155">
        <v>1320</v>
      </c>
      <c r="BG13" s="156">
        <v>1472</v>
      </c>
      <c r="BH13"/>
      <c r="BI13" s="154">
        <v>688</v>
      </c>
      <c r="BJ13" s="155">
        <v>692</v>
      </c>
      <c r="BK13" s="155">
        <v>859</v>
      </c>
      <c r="BL13" s="155">
        <v>1211</v>
      </c>
      <c r="BM13" s="156">
        <v>1458</v>
      </c>
      <c r="BN13"/>
      <c r="BO13" s="153" t="s">
        <v>90</v>
      </c>
      <c r="BP13" s="154">
        <v>688</v>
      </c>
      <c r="BQ13" s="155">
        <v>692</v>
      </c>
      <c r="BR13" s="155">
        <v>859</v>
      </c>
      <c r="BS13" s="155">
        <v>1211</v>
      </c>
      <c r="BT13" s="156">
        <v>1458</v>
      </c>
      <c r="BU13"/>
      <c r="BV13" s="153" t="s">
        <v>90</v>
      </c>
      <c r="BW13" s="154">
        <v>688</v>
      </c>
      <c r="BX13" s="155">
        <v>692</v>
      </c>
      <c r="BY13" s="155">
        <v>859</v>
      </c>
      <c r="BZ13" s="155">
        <v>1211</v>
      </c>
      <c r="CA13" s="156">
        <v>1458</v>
      </c>
    </row>
    <row r="14" spans="1:79" x14ac:dyDescent="0.25">
      <c r="A14" s="150" t="s">
        <v>91</v>
      </c>
      <c r="B14" s="496">
        <v>50750</v>
      </c>
      <c r="C14" s="151">
        <v>355</v>
      </c>
      <c r="D14" s="147">
        <v>380</v>
      </c>
      <c r="E14" s="147">
        <v>457</v>
      </c>
      <c r="F14" s="147">
        <v>528</v>
      </c>
      <c r="G14" s="152">
        <v>589</v>
      </c>
      <c r="H14" s="151">
        <v>533</v>
      </c>
      <c r="I14" s="147">
        <v>571</v>
      </c>
      <c r="J14" s="147">
        <v>685</v>
      </c>
      <c r="K14" s="147">
        <v>792</v>
      </c>
      <c r="L14" s="147">
        <v>883</v>
      </c>
      <c r="M14" s="151">
        <v>711</v>
      </c>
      <c r="N14" s="147">
        <v>761</v>
      </c>
      <c r="O14" s="147">
        <v>914</v>
      </c>
      <c r="P14" s="147">
        <v>1056</v>
      </c>
      <c r="Q14" s="152">
        <v>1178</v>
      </c>
      <c r="R14" s="151">
        <v>888</v>
      </c>
      <c r="S14" s="147">
        <v>951</v>
      </c>
      <c r="T14" s="147">
        <v>1142</v>
      </c>
      <c r="U14" s="147">
        <v>1320</v>
      </c>
      <c r="V14" s="147">
        <v>1472</v>
      </c>
      <c r="W14" s="151">
        <v>1066</v>
      </c>
      <c r="X14" s="147">
        <v>1142</v>
      </c>
      <c r="Y14" s="147">
        <v>1371</v>
      </c>
      <c r="Z14" s="147">
        <v>1584</v>
      </c>
      <c r="AA14" s="152">
        <v>1767</v>
      </c>
      <c r="AB14" s="151">
        <v>1244</v>
      </c>
      <c r="AC14" s="147">
        <v>1332</v>
      </c>
      <c r="AD14" s="147">
        <v>1599</v>
      </c>
      <c r="AE14" s="147">
        <v>1848</v>
      </c>
      <c r="AF14" s="152">
        <v>2061</v>
      </c>
      <c r="AG14" s="151">
        <v>1422</v>
      </c>
      <c r="AH14" s="147">
        <v>1523</v>
      </c>
      <c r="AI14" s="147">
        <v>1828</v>
      </c>
      <c r="AJ14" s="147">
        <v>2112</v>
      </c>
      <c r="AK14" s="152">
        <v>2356</v>
      </c>
      <c r="AM14" s="151">
        <v>533</v>
      </c>
      <c r="AN14" s="147">
        <v>571</v>
      </c>
      <c r="AO14" s="147">
        <v>686</v>
      </c>
      <c r="AP14" s="147">
        <v>847</v>
      </c>
      <c r="AQ14" s="152">
        <v>1049</v>
      </c>
      <c r="AS14" s="151">
        <v>533</v>
      </c>
      <c r="AT14" s="147">
        <v>571</v>
      </c>
      <c r="AU14" s="147">
        <v>685</v>
      </c>
      <c r="AV14" s="147">
        <v>847</v>
      </c>
      <c r="AW14" s="152">
        <v>1049</v>
      </c>
      <c r="AX14" s="151">
        <v>888</v>
      </c>
      <c r="AY14" s="147">
        <v>951</v>
      </c>
      <c r="AZ14" s="147">
        <v>1142</v>
      </c>
      <c r="BA14" s="147">
        <v>1320</v>
      </c>
      <c r="BB14" s="152">
        <v>1472</v>
      </c>
      <c r="BC14" s="151">
        <v>888</v>
      </c>
      <c r="BD14" s="147">
        <v>951</v>
      </c>
      <c r="BE14" s="147">
        <v>1142</v>
      </c>
      <c r="BF14" s="147">
        <v>1320</v>
      </c>
      <c r="BG14" s="152">
        <v>1472</v>
      </c>
      <c r="BI14" s="151">
        <v>649</v>
      </c>
      <c r="BJ14" s="147">
        <v>654</v>
      </c>
      <c r="BK14" s="147">
        <v>859</v>
      </c>
      <c r="BL14" s="147">
        <v>1039</v>
      </c>
      <c r="BM14" s="152">
        <v>1458</v>
      </c>
      <c r="BO14" s="150" t="s">
        <v>91</v>
      </c>
      <c r="BP14" s="151">
        <v>649</v>
      </c>
      <c r="BQ14" s="147">
        <v>654</v>
      </c>
      <c r="BR14" s="147">
        <v>859</v>
      </c>
      <c r="BS14" s="147">
        <v>1039</v>
      </c>
      <c r="BT14" s="152">
        <v>1458</v>
      </c>
      <c r="BV14" s="150" t="s">
        <v>91</v>
      </c>
      <c r="BW14" s="151">
        <v>649</v>
      </c>
      <c r="BX14" s="147">
        <v>654</v>
      </c>
      <c r="BY14" s="147">
        <v>859</v>
      </c>
      <c r="BZ14" s="147">
        <v>1039</v>
      </c>
      <c r="CA14" s="152">
        <v>1458</v>
      </c>
    </row>
    <row r="15" spans="1:79" s="157" customFormat="1" x14ac:dyDescent="0.25">
      <c r="A15" s="153" t="s">
        <v>92</v>
      </c>
      <c r="B15" s="497">
        <v>54900</v>
      </c>
      <c r="C15" s="154">
        <v>384</v>
      </c>
      <c r="D15" s="155">
        <v>412</v>
      </c>
      <c r="E15" s="155">
        <v>494</v>
      </c>
      <c r="F15" s="155">
        <v>571</v>
      </c>
      <c r="G15" s="156">
        <v>637</v>
      </c>
      <c r="H15" s="154">
        <v>576</v>
      </c>
      <c r="I15" s="155">
        <v>618</v>
      </c>
      <c r="J15" s="155">
        <v>741</v>
      </c>
      <c r="K15" s="155">
        <v>856</v>
      </c>
      <c r="L15" s="155">
        <v>955</v>
      </c>
      <c r="M15" s="154">
        <v>769</v>
      </c>
      <c r="N15" s="155">
        <v>824</v>
      </c>
      <c r="O15" s="155">
        <v>989</v>
      </c>
      <c r="P15" s="155">
        <v>1142</v>
      </c>
      <c r="Q15" s="156">
        <v>1274</v>
      </c>
      <c r="R15" s="154">
        <v>961</v>
      </c>
      <c r="S15" s="155">
        <v>1030</v>
      </c>
      <c r="T15" s="155">
        <v>1236</v>
      </c>
      <c r="U15" s="155">
        <v>1427</v>
      </c>
      <c r="V15" s="155">
        <v>1592</v>
      </c>
      <c r="W15" s="154">
        <v>1153</v>
      </c>
      <c r="X15" s="155">
        <v>1236</v>
      </c>
      <c r="Y15" s="155">
        <v>1483</v>
      </c>
      <c r="Z15" s="155">
        <v>1713</v>
      </c>
      <c r="AA15" s="156">
        <v>1911</v>
      </c>
      <c r="AB15" s="154">
        <v>1345</v>
      </c>
      <c r="AC15" s="155">
        <v>1442</v>
      </c>
      <c r="AD15" s="155">
        <v>1730</v>
      </c>
      <c r="AE15" s="155">
        <v>1998</v>
      </c>
      <c r="AF15" s="156">
        <v>2229</v>
      </c>
      <c r="AG15" s="154">
        <v>1538</v>
      </c>
      <c r="AH15" s="155">
        <v>1648</v>
      </c>
      <c r="AI15" s="155">
        <v>1978</v>
      </c>
      <c r="AJ15" s="155">
        <v>2284</v>
      </c>
      <c r="AK15" s="156">
        <v>2548</v>
      </c>
      <c r="AL15"/>
      <c r="AM15" s="154">
        <v>577</v>
      </c>
      <c r="AN15" s="155">
        <v>618</v>
      </c>
      <c r="AO15" s="155">
        <v>742</v>
      </c>
      <c r="AP15" s="155">
        <v>856</v>
      </c>
      <c r="AQ15" s="156">
        <v>1049</v>
      </c>
      <c r="AR15"/>
      <c r="AS15" s="154">
        <v>576</v>
      </c>
      <c r="AT15" s="155">
        <v>618</v>
      </c>
      <c r="AU15" s="155">
        <v>741</v>
      </c>
      <c r="AV15" s="155">
        <v>869</v>
      </c>
      <c r="AW15" s="156">
        <v>1049</v>
      </c>
      <c r="AX15" s="154">
        <v>961</v>
      </c>
      <c r="AY15" s="155">
        <v>1030</v>
      </c>
      <c r="AZ15" s="155">
        <v>1236</v>
      </c>
      <c r="BA15" s="155">
        <v>1427</v>
      </c>
      <c r="BB15" s="156">
        <v>1592</v>
      </c>
      <c r="BC15" s="154">
        <v>961</v>
      </c>
      <c r="BD15" s="155">
        <v>1030</v>
      </c>
      <c r="BE15" s="155">
        <v>1236</v>
      </c>
      <c r="BF15" s="155">
        <v>1427</v>
      </c>
      <c r="BG15" s="156">
        <v>1592</v>
      </c>
      <c r="BH15"/>
      <c r="BI15" s="154">
        <v>1119</v>
      </c>
      <c r="BJ15" s="155">
        <v>1126</v>
      </c>
      <c r="BK15" s="155">
        <v>1397</v>
      </c>
      <c r="BL15" s="155">
        <v>1689</v>
      </c>
      <c r="BM15" s="156">
        <v>2371</v>
      </c>
      <c r="BN15"/>
      <c r="BO15" s="153" t="s">
        <v>92</v>
      </c>
      <c r="BP15" s="154">
        <v>961</v>
      </c>
      <c r="BQ15" s="155">
        <v>1030</v>
      </c>
      <c r="BR15" s="155">
        <v>1236</v>
      </c>
      <c r="BS15" s="155">
        <v>1427</v>
      </c>
      <c r="BT15" s="156">
        <v>1592</v>
      </c>
      <c r="BU15"/>
      <c r="BV15" s="153" t="s">
        <v>92</v>
      </c>
      <c r="BW15" s="154">
        <v>1119</v>
      </c>
      <c r="BX15" s="155">
        <v>1126</v>
      </c>
      <c r="BY15" s="155">
        <v>1397</v>
      </c>
      <c r="BZ15" s="155">
        <v>1689</v>
      </c>
      <c r="CA15" s="156">
        <v>2013</v>
      </c>
    </row>
    <row r="16" spans="1:79" x14ac:dyDescent="0.25">
      <c r="A16" s="150" t="s">
        <v>93</v>
      </c>
      <c r="B16" s="496">
        <v>62850</v>
      </c>
      <c r="C16" s="151">
        <v>440</v>
      </c>
      <c r="D16" s="147">
        <v>471</v>
      </c>
      <c r="E16" s="147">
        <v>566</v>
      </c>
      <c r="F16" s="147">
        <v>653</v>
      </c>
      <c r="G16" s="152">
        <v>729</v>
      </c>
      <c r="H16" s="151">
        <v>660</v>
      </c>
      <c r="I16" s="147">
        <v>707</v>
      </c>
      <c r="J16" s="147">
        <v>849</v>
      </c>
      <c r="K16" s="147">
        <v>980</v>
      </c>
      <c r="L16" s="147">
        <v>1094</v>
      </c>
      <c r="M16" s="151">
        <v>880</v>
      </c>
      <c r="N16" s="147">
        <v>943</v>
      </c>
      <c r="O16" s="147">
        <v>1132</v>
      </c>
      <c r="P16" s="147">
        <v>1307</v>
      </c>
      <c r="Q16" s="152">
        <v>1459</v>
      </c>
      <c r="R16" s="151">
        <v>1100</v>
      </c>
      <c r="S16" s="147">
        <v>1178</v>
      </c>
      <c r="T16" s="147">
        <v>1415</v>
      </c>
      <c r="U16" s="147">
        <v>1634</v>
      </c>
      <c r="V16" s="147">
        <v>1823</v>
      </c>
      <c r="W16" s="151">
        <v>1320</v>
      </c>
      <c r="X16" s="147">
        <v>1414</v>
      </c>
      <c r="Y16" s="147">
        <v>1698</v>
      </c>
      <c r="Z16" s="147">
        <v>1961</v>
      </c>
      <c r="AA16" s="152">
        <v>2188</v>
      </c>
      <c r="AB16" s="151">
        <v>1540</v>
      </c>
      <c r="AC16" s="147">
        <v>1650</v>
      </c>
      <c r="AD16" s="147">
        <v>1981</v>
      </c>
      <c r="AE16" s="147">
        <v>2288</v>
      </c>
      <c r="AF16" s="152">
        <v>2553</v>
      </c>
      <c r="AG16" s="151">
        <v>1760</v>
      </c>
      <c r="AH16" s="147">
        <v>1886</v>
      </c>
      <c r="AI16" s="147">
        <v>2264</v>
      </c>
      <c r="AJ16" s="147">
        <v>2615</v>
      </c>
      <c r="AK16" s="152">
        <v>2918</v>
      </c>
      <c r="AM16" s="151">
        <v>660</v>
      </c>
      <c r="AN16" s="147">
        <v>707</v>
      </c>
      <c r="AO16" s="147">
        <v>848</v>
      </c>
      <c r="AP16" s="147">
        <v>980</v>
      </c>
      <c r="AQ16" s="152">
        <v>1093</v>
      </c>
      <c r="AS16" s="151">
        <v>695</v>
      </c>
      <c r="AT16" s="147">
        <v>745</v>
      </c>
      <c r="AU16" s="147">
        <v>894</v>
      </c>
      <c r="AV16" s="147">
        <v>1032</v>
      </c>
      <c r="AW16" s="152">
        <v>1152</v>
      </c>
      <c r="AX16" s="151">
        <v>1158</v>
      </c>
      <c r="AY16" s="147">
        <v>1241</v>
      </c>
      <c r="AZ16" s="147">
        <v>1490</v>
      </c>
      <c r="BA16" s="147">
        <v>1721</v>
      </c>
      <c r="BB16" s="152">
        <v>1920</v>
      </c>
      <c r="BC16" s="151">
        <v>1158</v>
      </c>
      <c r="BD16" s="147">
        <v>1241</v>
      </c>
      <c r="BE16" s="147">
        <v>1490</v>
      </c>
      <c r="BF16" s="147">
        <v>1721</v>
      </c>
      <c r="BG16" s="152">
        <v>1920</v>
      </c>
      <c r="BI16" s="151">
        <v>836</v>
      </c>
      <c r="BJ16" s="147">
        <v>841</v>
      </c>
      <c r="BK16" s="147">
        <v>1057</v>
      </c>
      <c r="BL16" s="147">
        <v>1287</v>
      </c>
      <c r="BM16" s="152">
        <v>1770</v>
      </c>
      <c r="BO16" s="150" t="s">
        <v>93</v>
      </c>
      <c r="BP16" s="151">
        <v>836</v>
      </c>
      <c r="BQ16" s="147">
        <v>841</v>
      </c>
      <c r="BR16" s="147">
        <v>1057</v>
      </c>
      <c r="BS16" s="147">
        <v>1287</v>
      </c>
      <c r="BT16" s="152">
        <v>1770</v>
      </c>
      <c r="BV16" s="150" t="s">
        <v>93</v>
      </c>
      <c r="BW16" s="151">
        <v>836</v>
      </c>
      <c r="BX16" s="147">
        <v>841</v>
      </c>
      <c r="BY16" s="147">
        <v>1057</v>
      </c>
      <c r="BZ16" s="147">
        <v>1287</v>
      </c>
      <c r="CA16" s="152">
        <v>1770</v>
      </c>
    </row>
    <row r="17" spans="1:79" s="157" customFormat="1" x14ac:dyDescent="0.25">
      <c r="A17" s="153" t="s">
        <v>94</v>
      </c>
      <c r="B17" s="497">
        <v>50750</v>
      </c>
      <c r="C17" s="154">
        <v>355</v>
      </c>
      <c r="D17" s="155">
        <v>380</v>
      </c>
      <c r="E17" s="155">
        <v>457</v>
      </c>
      <c r="F17" s="155">
        <v>528</v>
      </c>
      <c r="G17" s="156">
        <v>589</v>
      </c>
      <c r="H17" s="154">
        <v>533</v>
      </c>
      <c r="I17" s="155">
        <v>571</v>
      </c>
      <c r="J17" s="155">
        <v>685</v>
      </c>
      <c r="K17" s="155">
        <v>792</v>
      </c>
      <c r="L17" s="155">
        <v>883</v>
      </c>
      <c r="M17" s="154">
        <v>711</v>
      </c>
      <c r="N17" s="155">
        <v>761</v>
      </c>
      <c r="O17" s="155">
        <v>914</v>
      </c>
      <c r="P17" s="155">
        <v>1056</v>
      </c>
      <c r="Q17" s="156">
        <v>1178</v>
      </c>
      <c r="R17" s="154">
        <v>888</v>
      </c>
      <c r="S17" s="155">
        <v>951</v>
      </c>
      <c r="T17" s="155">
        <v>1142</v>
      </c>
      <c r="U17" s="155">
        <v>1320</v>
      </c>
      <c r="V17" s="155">
        <v>1472</v>
      </c>
      <c r="W17" s="154">
        <v>1066</v>
      </c>
      <c r="X17" s="155">
        <v>1142</v>
      </c>
      <c r="Y17" s="155">
        <v>1371</v>
      </c>
      <c r="Z17" s="155">
        <v>1584</v>
      </c>
      <c r="AA17" s="156">
        <v>1767</v>
      </c>
      <c r="AB17" s="154">
        <v>1244</v>
      </c>
      <c r="AC17" s="155">
        <v>1332</v>
      </c>
      <c r="AD17" s="155">
        <v>1599</v>
      </c>
      <c r="AE17" s="155">
        <v>1848</v>
      </c>
      <c r="AF17" s="156">
        <v>2061</v>
      </c>
      <c r="AG17" s="154">
        <v>1422</v>
      </c>
      <c r="AH17" s="155">
        <v>1523</v>
      </c>
      <c r="AI17" s="155">
        <v>1828</v>
      </c>
      <c r="AJ17" s="155">
        <v>2112</v>
      </c>
      <c r="AK17" s="156">
        <v>2356</v>
      </c>
      <c r="AL17"/>
      <c r="AM17" s="154">
        <v>533</v>
      </c>
      <c r="AN17" s="155">
        <v>571</v>
      </c>
      <c r="AO17" s="155">
        <v>686</v>
      </c>
      <c r="AP17" s="155">
        <v>847</v>
      </c>
      <c r="AQ17" s="156">
        <v>1049</v>
      </c>
      <c r="AR17"/>
      <c r="AS17" s="154">
        <v>533</v>
      </c>
      <c r="AT17" s="155">
        <v>571</v>
      </c>
      <c r="AU17" s="155">
        <v>685</v>
      </c>
      <c r="AV17" s="155">
        <v>847</v>
      </c>
      <c r="AW17" s="156">
        <v>1049</v>
      </c>
      <c r="AX17" s="154">
        <v>888</v>
      </c>
      <c r="AY17" s="155">
        <v>951</v>
      </c>
      <c r="AZ17" s="155">
        <v>1142</v>
      </c>
      <c r="BA17" s="155">
        <v>1320</v>
      </c>
      <c r="BB17" s="156">
        <v>1472</v>
      </c>
      <c r="BC17" s="154">
        <v>888</v>
      </c>
      <c r="BD17" s="155">
        <v>951</v>
      </c>
      <c r="BE17" s="155">
        <v>1142</v>
      </c>
      <c r="BF17" s="155">
        <v>1320</v>
      </c>
      <c r="BG17" s="156">
        <v>1472</v>
      </c>
      <c r="BH17"/>
      <c r="BI17" s="154">
        <v>649</v>
      </c>
      <c r="BJ17" s="155">
        <v>654</v>
      </c>
      <c r="BK17" s="155">
        <v>859</v>
      </c>
      <c r="BL17" s="155">
        <v>1159</v>
      </c>
      <c r="BM17" s="156">
        <v>1458</v>
      </c>
      <c r="BN17"/>
      <c r="BO17" s="153" t="s">
        <v>94</v>
      </c>
      <c r="BP17" s="154">
        <v>649</v>
      </c>
      <c r="BQ17" s="155">
        <v>654</v>
      </c>
      <c r="BR17" s="155">
        <v>859</v>
      </c>
      <c r="BS17" s="155">
        <v>1159</v>
      </c>
      <c r="BT17" s="156">
        <v>1458</v>
      </c>
      <c r="BU17"/>
      <c r="BV17" s="153" t="s">
        <v>94</v>
      </c>
      <c r="BW17" s="154">
        <v>649</v>
      </c>
      <c r="BX17" s="155">
        <v>654</v>
      </c>
      <c r="BY17" s="155">
        <v>859</v>
      </c>
      <c r="BZ17" s="155">
        <v>1159</v>
      </c>
      <c r="CA17" s="156">
        <v>1458</v>
      </c>
    </row>
    <row r="18" spans="1:79" x14ac:dyDescent="0.25">
      <c r="A18" s="150" t="s">
        <v>95</v>
      </c>
      <c r="B18" s="496">
        <v>50750</v>
      </c>
      <c r="C18" s="151">
        <v>355</v>
      </c>
      <c r="D18" s="147">
        <v>380</v>
      </c>
      <c r="E18" s="147">
        <v>457</v>
      </c>
      <c r="F18" s="147">
        <v>528</v>
      </c>
      <c r="G18" s="152">
        <v>589</v>
      </c>
      <c r="H18" s="151">
        <v>533</v>
      </c>
      <c r="I18" s="147">
        <v>571</v>
      </c>
      <c r="J18" s="147">
        <v>685</v>
      </c>
      <c r="K18" s="147">
        <v>792</v>
      </c>
      <c r="L18" s="147">
        <v>883</v>
      </c>
      <c r="M18" s="151">
        <v>711</v>
      </c>
      <c r="N18" s="147">
        <v>761</v>
      </c>
      <c r="O18" s="147">
        <v>914</v>
      </c>
      <c r="P18" s="147">
        <v>1056</v>
      </c>
      <c r="Q18" s="152">
        <v>1178</v>
      </c>
      <c r="R18" s="151">
        <v>888</v>
      </c>
      <c r="S18" s="147">
        <v>951</v>
      </c>
      <c r="T18" s="147">
        <v>1142</v>
      </c>
      <c r="U18" s="147">
        <v>1320</v>
      </c>
      <c r="V18" s="147">
        <v>1472</v>
      </c>
      <c r="W18" s="151">
        <v>1066</v>
      </c>
      <c r="X18" s="147">
        <v>1142</v>
      </c>
      <c r="Y18" s="147">
        <v>1371</v>
      </c>
      <c r="Z18" s="147">
        <v>1584</v>
      </c>
      <c r="AA18" s="152">
        <v>1767</v>
      </c>
      <c r="AB18" s="151">
        <v>1244</v>
      </c>
      <c r="AC18" s="147">
        <v>1332</v>
      </c>
      <c r="AD18" s="147">
        <v>1599</v>
      </c>
      <c r="AE18" s="147">
        <v>1848</v>
      </c>
      <c r="AF18" s="152">
        <v>2061</v>
      </c>
      <c r="AG18" s="151">
        <v>1422</v>
      </c>
      <c r="AH18" s="147">
        <v>1523</v>
      </c>
      <c r="AI18" s="147">
        <v>1828</v>
      </c>
      <c r="AJ18" s="147">
        <v>2112</v>
      </c>
      <c r="AK18" s="152">
        <v>2356</v>
      </c>
      <c r="AM18" s="151">
        <v>533</v>
      </c>
      <c r="AN18" s="147">
        <v>571</v>
      </c>
      <c r="AO18" s="147">
        <v>686</v>
      </c>
      <c r="AP18" s="147">
        <v>847</v>
      </c>
      <c r="AQ18" s="152">
        <v>1049</v>
      </c>
      <c r="AS18" s="151">
        <v>533</v>
      </c>
      <c r="AT18" s="147">
        <v>571</v>
      </c>
      <c r="AU18" s="147">
        <v>685</v>
      </c>
      <c r="AV18" s="147">
        <v>847</v>
      </c>
      <c r="AW18" s="152">
        <v>1049</v>
      </c>
      <c r="AX18" s="151">
        <v>888</v>
      </c>
      <c r="AY18" s="147">
        <v>951</v>
      </c>
      <c r="AZ18" s="147">
        <v>1142</v>
      </c>
      <c r="BA18" s="147">
        <v>1320</v>
      </c>
      <c r="BB18" s="152">
        <v>1472</v>
      </c>
      <c r="BC18" s="151">
        <v>888</v>
      </c>
      <c r="BD18" s="147">
        <v>951</v>
      </c>
      <c r="BE18" s="147">
        <v>1142</v>
      </c>
      <c r="BF18" s="147">
        <v>1320</v>
      </c>
      <c r="BG18" s="152">
        <v>1472</v>
      </c>
      <c r="BI18" s="151">
        <v>649</v>
      </c>
      <c r="BJ18" s="147">
        <v>654</v>
      </c>
      <c r="BK18" s="147">
        <v>859</v>
      </c>
      <c r="BL18" s="147">
        <v>1065</v>
      </c>
      <c r="BM18" s="152">
        <v>1458</v>
      </c>
      <c r="BO18" s="150" t="s">
        <v>95</v>
      </c>
      <c r="BP18" s="151">
        <v>649</v>
      </c>
      <c r="BQ18" s="147">
        <v>654</v>
      </c>
      <c r="BR18" s="147">
        <v>859</v>
      </c>
      <c r="BS18" s="147">
        <v>1065</v>
      </c>
      <c r="BT18" s="152">
        <v>1458</v>
      </c>
      <c r="BV18" s="150" t="s">
        <v>95</v>
      </c>
      <c r="BW18" s="151">
        <v>649</v>
      </c>
      <c r="BX18" s="147">
        <v>654</v>
      </c>
      <c r="BY18" s="147">
        <v>859</v>
      </c>
      <c r="BZ18" s="147">
        <v>1065</v>
      </c>
      <c r="CA18" s="152">
        <v>1458</v>
      </c>
    </row>
    <row r="19" spans="1:79" s="157" customFormat="1" x14ac:dyDescent="0.25">
      <c r="A19" s="153" t="s">
        <v>96</v>
      </c>
      <c r="B19" s="497">
        <v>55750</v>
      </c>
      <c r="C19" s="154">
        <v>390</v>
      </c>
      <c r="D19" s="155">
        <v>418</v>
      </c>
      <c r="E19" s="155">
        <v>502</v>
      </c>
      <c r="F19" s="155">
        <v>580</v>
      </c>
      <c r="G19" s="156">
        <v>647</v>
      </c>
      <c r="H19" s="154">
        <v>585</v>
      </c>
      <c r="I19" s="155">
        <v>627</v>
      </c>
      <c r="J19" s="155">
        <v>753</v>
      </c>
      <c r="K19" s="155">
        <v>870</v>
      </c>
      <c r="L19" s="155">
        <v>970</v>
      </c>
      <c r="M19" s="154">
        <v>781</v>
      </c>
      <c r="N19" s="155">
        <v>836</v>
      </c>
      <c r="O19" s="155">
        <v>1004</v>
      </c>
      <c r="P19" s="155">
        <v>1160</v>
      </c>
      <c r="Q19" s="156">
        <v>1294</v>
      </c>
      <c r="R19" s="154">
        <v>976</v>
      </c>
      <c r="S19" s="155">
        <v>1045</v>
      </c>
      <c r="T19" s="155">
        <v>1255</v>
      </c>
      <c r="U19" s="155">
        <v>1450</v>
      </c>
      <c r="V19" s="155">
        <v>1617</v>
      </c>
      <c r="W19" s="154">
        <v>1171</v>
      </c>
      <c r="X19" s="155">
        <v>1254</v>
      </c>
      <c r="Y19" s="155">
        <v>1506</v>
      </c>
      <c r="Z19" s="155">
        <v>1740</v>
      </c>
      <c r="AA19" s="156">
        <v>1941</v>
      </c>
      <c r="AB19" s="154">
        <v>1366</v>
      </c>
      <c r="AC19" s="155">
        <v>1463</v>
      </c>
      <c r="AD19" s="155">
        <v>1757</v>
      </c>
      <c r="AE19" s="155">
        <v>2030</v>
      </c>
      <c r="AF19" s="156">
        <v>2264</v>
      </c>
      <c r="AG19" s="154">
        <v>1562</v>
      </c>
      <c r="AH19" s="155">
        <v>1673</v>
      </c>
      <c r="AI19" s="155">
        <v>2008</v>
      </c>
      <c r="AJ19" s="155">
        <v>2320</v>
      </c>
      <c r="AK19" s="156">
        <v>2588</v>
      </c>
      <c r="AL19"/>
      <c r="AM19" s="154">
        <v>586</v>
      </c>
      <c r="AN19" s="155">
        <v>628</v>
      </c>
      <c r="AO19" s="155">
        <v>753</v>
      </c>
      <c r="AP19" s="155">
        <v>870</v>
      </c>
      <c r="AQ19" s="156">
        <v>1049</v>
      </c>
      <c r="AR19"/>
      <c r="AS19" s="154">
        <v>585</v>
      </c>
      <c r="AT19" s="155">
        <v>627</v>
      </c>
      <c r="AU19" s="155">
        <v>753</v>
      </c>
      <c r="AV19" s="155">
        <v>875</v>
      </c>
      <c r="AW19" s="156">
        <v>1049</v>
      </c>
      <c r="AX19" s="154">
        <v>976</v>
      </c>
      <c r="AY19" s="155">
        <v>1045</v>
      </c>
      <c r="AZ19" s="155">
        <v>1255</v>
      </c>
      <c r="BA19" s="155">
        <v>1450</v>
      </c>
      <c r="BB19" s="156">
        <v>1617</v>
      </c>
      <c r="BC19" s="154">
        <v>976</v>
      </c>
      <c r="BD19" s="155">
        <v>1045</v>
      </c>
      <c r="BE19" s="155">
        <v>1255</v>
      </c>
      <c r="BF19" s="155">
        <v>1450</v>
      </c>
      <c r="BG19" s="156">
        <v>1617</v>
      </c>
      <c r="BH19"/>
      <c r="BI19" s="154">
        <v>745</v>
      </c>
      <c r="BJ19" s="155">
        <v>765</v>
      </c>
      <c r="BK19" s="155">
        <v>859</v>
      </c>
      <c r="BL19" s="155">
        <v>1202</v>
      </c>
      <c r="BM19" s="156">
        <v>1306</v>
      </c>
      <c r="BN19"/>
      <c r="BO19" s="153" t="s">
        <v>96</v>
      </c>
      <c r="BP19" s="154">
        <v>745</v>
      </c>
      <c r="BQ19" s="155">
        <v>765</v>
      </c>
      <c r="BR19" s="155">
        <v>859</v>
      </c>
      <c r="BS19" s="155">
        <v>1202</v>
      </c>
      <c r="BT19" s="156">
        <v>1306</v>
      </c>
      <c r="BU19"/>
      <c r="BV19" s="153" t="s">
        <v>96</v>
      </c>
      <c r="BW19" s="154">
        <v>745</v>
      </c>
      <c r="BX19" s="155">
        <v>765</v>
      </c>
      <c r="BY19" s="155">
        <v>859</v>
      </c>
      <c r="BZ19" s="155">
        <v>1202</v>
      </c>
      <c r="CA19" s="156">
        <v>1306</v>
      </c>
    </row>
    <row r="20" spans="1:79" x14ac:dyDescent="0.25">
      <c r="A20" s="150" t="s">
        <v>97</v>
      </c>
      <c r="B20" s="496">
        <v>52450</v>
      </c>
      <c r="C20" s="151">
        <v>367</v>
      </c>
      <c r="D20" s="147">
        <v>393</v>
      </c>
      <c r="E20" s="147">
        <v>472</v>
      </c>
      <c r="F20" s="147">
        <v>545</v>
      </c>
      <c r="G20" s="152">
        <v>608</v>
      </c>
      <c r="H20" s="151">
        <v>551</v>
      </c>
      <c r="I20" s="147">
        <v>590</v>
      </c>
      <c r="J20" s="147">
        <v>708</v>
      </c>
      <c r="K20" s="147">
        <v>818</v>
      </c>
      <c r="L20" s="147">
        <v>912</v>
      </c>
      <c r="M20" s="151">
        <v>735</v>
      </c>
      <c r="N20" s="147">
        <v>787</v>
      </c>
      <c r="O20" s="147">
        <v>945</v>
      </c>
      <c r="P20" s="147">
        <v>1091</v>
      </c>
      <c r="Q20" s="152">
        <v>1217</v>
      </c>
      <c r="R20" s="151">
        <v>918</v>
      </c>
      <c r="S20" s="147">
        <v>984</v>
      </c>
      <c r="T20" s="147">
        <v>1181</v>
      </c>
      <c r="U20" s="147">
        <v>1363</v>
      </c>
      <c r="V20" s="147">
        <v>1521</v>
      </c>
      <c r="W20" s="151">
        <v>1102</v>
      </c>
      <c r="X20" s="147">
        <v>1181</v>
      </c>
      <c r="Y20" s="147">
        <v>1417</v>
      </c>
      <c r="Z20" s="147">
        <v>1636</v>
      </c>
      <c r="AA20" s="152">
        <v>1825</v>
      </c>
      <c r="AB20" s="151">
        <v>1286</v>
      </c>
      <c r="AC20" s="147">
        <v>1378</v>
      </c>
      <c r="AD20" s="147">
        <v>1653</v>
      </c>
      <c r="AE20" s="147">
        <v>1909</v>
      </c>
      <c r="AF20" s="152">
        <v>2129</v>
      </c>
      <c r="AG20" s="151">
        <v>1470</v>
      </c>
      <c r="AH20" s="147">
        <v>1575</v>
      </c>
      <c r="AI20" s="147">
        <v>1890</v>
      </c>
      <c r="AJ20" s="147">
        <v>2182</v>
      </c>
      <c r="AK20" s="152">
        <v>2434</v>
      </c>
      <c r="AM20" s="151">
        <v>551</v>
      </c>
      <c r="AN20" s="147">
        <v>590</v>
      </c>
      <c r="AO20" s="147">
        <v>708</v>
      </c>
      <c r="AP20" s="147">
        <v>847</v>
      </c>
      <c r="AQ20" s="152">
        <v>1049</v>
      </c>
      <c r="AS20" s="151">
        <v>551</v>
      </c>
      <c r="AT20" s="147">
        <v>590</v>
      </c>
      <c r="AU20" s="147">
        <v>708</v>
      </c>
      <c r="AV20" s="147">
        <v>850</v>
      </c>
      <c r="AW20" s="152">
        <v>1049</v>
      </c>
      <c r="AX20" s="151">
        <v>918</v>
      </c>
      <c r="AY20" s="147">
        <v>984</v>
      </c>
      <c r="AZ20" s="147">
        <v>1181</v>
      </c>
      <c r="BA20" s="147">
        <v>1363</v>
      </c>
      <c r="BB20" s="152">
        <v>1521</v>
      </c>
      <c r="BC20" s="151">
        <v>918</v>
      </c>
      <c r="BD20" s="147">
        <v>984</v>
      </c>
      <c r="BE20" s="147">
        <v>1181</v>
      </c>
      <c r="BF20" s="147">
        <v>1363</v>
      </c>
      <c r="BG20" s="152">
        <v>1521</v>
      </c>
      <c r="BI20" s="151">
        <v>699</v>
      </c>
      <c r="BJ20" s="147">
        <v>703</v>
      </c>
      <c r="BK20" s="147">
        <v>872</v>
      </c>
      <c r="BL20" s="147">
        <v>1054</v>
      </c>
      <c r="BM20" s="152">
        <v>1480</v>
      </c>
      <c r="BO20" s="150" t="s">
        <v>97</v>
      </c>
      <c r="BP20" s="151">
        <v>699</v>
      </c>
      <c r="BQ20" s="147">
        <v>703</v>
      </c>
      <c r="BR20" s="147">
        <v>872</v>
      </c>
      <c r="BS20" s="147">
        <v>1054</v>
      </c>
      <c r="BT20" s="152">
        <v>1480</v>
      </c>
      <c r="BV20" s="150" t="s">
        <v>97</v>
      </c>
      <c r="BW20" s="151">
        <v>699</v>
      </c>
      <c r="BX20" s="147">
        <v>703</v>
      </c>
      <c r="BY20" s="147">
        <v>872</v>
      </c>
      <c r="BZ20" s="147">
        <v>1054</v>
      </c>
      <c r="CA20" s="152">
        <v>1480</v>
      </c>
    </row>
    <row r="21" spans="1:79" s="157" customFormat="1" x14ac:dyDescent="0.25">
      <c r="A21" s="153" t="s">
        <v>98</v>
      </c>
      <c r="B21" s="497">
        <v>52150</v>
      </c>
      <c r="C21" s="154">
        <v>365</v>
      </c>
      <c r="D21" s="155">
        <v>391</v>
      </c>
      <c r="E21" s="155">
        <v>469</v>
      </c>
      <c r="F21" s="155">
        <v>542</v>
      </c>
      <c r="G21" s="156">
        <v>605</v>
      </c>
      <c r="H21" s="154">
        <v>548</v>
      </c>
      <c r="I21" s="155">
        <v>587</v>
      </c>
      <c r="J21" s="155">
        <v>704</v>
      </c>
      <c r="K21" s="155">
        <v>813</v>
      </c>
      <c r="L21" s="155">
        <v>907</v>
      </c>
      <c r="M21" s="154">
        <v>731</v>
      </c>
      <c r="N21" s="155">
        <v>783</v>
      </c>
      <c r="O21" s="155">
        <v>939</v>
      </c>
      <c r="P21" s="155">
        <v>1085</v>
      </c>
      <c r="Q21" s="156">
        <v>1210</v>
      </c>
      <c r="R21" s="154">
        <v>913</v>
      </c>
      <c r="S21" s="155">
        <v>978</v>
      </c>
      <c r="T21" s="155">
        <v>1173</v>
      </c>
      <c r="U21" s="155">
        <v>1356</v>
      </c>
      <c r="V21" s="155">
        <v>1512</v>
      </c>
      <c r="W21" s="154">
        <v>1096</v>
      </c>
      <c r="X21" s="155">
        <v>1174</v>
      </c>
      <c r="Y21" s="155">
        <v>1408</v>
      </c>
      <c r="Z21" s="155">
        <v>1627</v>
      </c>
      <c r="AA21" s="156">
        <v>1815</v>
      </c>
      <c r="AB21" s="154">
        <v>1279</v>
      </c>
      <c r="AC21" s="155">
        <v>1370</v>
      </c>
      <c r="AD21" s="155">
        <v>1643</v>
      </c>
      <c r="AE21" s="155">
        <v>1898</v>
      </c>
      <c r="AF21" s="156">
        <v>2117</v>
      </c>
      <c r="AG21" s="154">
        <v>1462</v>
      </c>
      <c r="AH21" s="155">
        <v>1566</v>
      </c>
      <c r="AI21" s="155">
        <v>1878</v>
      </c>
      <c r="AJ21" s="155">
        <v>2170</v>
      </c>
      <c r="AK21" s="156">
        <v>2420</v>
      </c>
      <c r="AL21"/>
      <c r="AM21" s="154">
        <v>548</v>
      </c>
      <c r="AN21" s="155">
        <v>587</v>
      </c>
      <c r="AO21" s="155">
        <v>705</v>
      </c>
      <c r="AP21" s="155">
        <v>847</v>
      </c>
      <c r="AQ21" s="156">
        <v>1049</v>
      </c>
      <c r="AR21"/>
      <c r="AS21" s="154">
        <v>548</v>
      </c>
      <c r="AT21" s="155">
        <v>587</v>
      </c>
      <c r="AU21" s="155">
        <v>704</v>
      </c>
      <c r="AV21" s="155">
        <v>848</v>
      </c>
      <c r="AW21" s="156">
        <v>1049</v>
      </c>
      <c r="AX21" s="154">
        <v>913</v>
      </c>
      <c r="AY21" s="155">
        <v>978</v>
      </c>
      <c r="AZ21" s="155">
        <v>1173</v>
      </c>
      <c r="BA21" s="155">
        <v>1356</v>
      </c>
      <c r="BB21" s="156">
        <v>1512</v>
      </c>
      <c r="BC21" s="154">
        <v>913</v>
      </c>
      <c r="BD21" s="155">
        <v>978</v>
      </c>
      <c r="BE21" s="155">
        <v>1173</v>
      </c>
      <c r="BF21" s="155">
        <v>1356</v>
      </c>
      <c r="BG21" s="156">
        <v>1512</v>
      </c>
      <c r="BH21"/>
      <c r="BI21" s="154">
        <v>731</v>
      </c>
      <c r="BJ21" s="155">
        <v>736</v>
      </c>
      <c r="BK21" s="155">
        <v>929</v>
      </c>
      <c r="BL21" s="155">
        <v>1309</v>
      </c>
      <c r="BM21" s="156">
        <v>1577</v>
      </c>
      <c r="BN21"/>
      <c r="BO21" s="153" t="s">
        <v>98</v>
      </c>
      <c r="BP21" s="154">
        <v>731</v>
      </c>
      <c r="BQ21" s="155">
        <v>736</v>
      </c>
      <c r="BR21" s="155">
        <v>929</v>
      </c>
      <c r="BS21" s="155">
        <v>1309</v>
      </c>
      <c r="BT21" s="156">
        <v>1512</v>
      </c>
      <c r="BU21"/>
      <c r="BV21" s="153" t="s">
        <v>98</v>
      </c>
      <c r="BW21" s="154">
        <v>731</v>
      </c>
      <c r="BX21" s="155">
        <v>736</v>
      </c>
      <c r="BY21" s="155">
        <v>929</v>
      </c>
      <c r="BZ21" s="155">
        <v>1309</v>
      </c>
      <c r="CA21" s="156">
        <v>1577</v>
      </c>
    </row>
    <row r="22" spans="1:79" x14ac:dyDescent="0.25">
      <c r="A22" s="150" t="s">
        <v>99</v>
      </c>
      <c r="B22" s="496">
        <v>50750</v>
      </c>
      <c r="C22" s="151">
        <v>355</v>
      </c>
      <c r="D22" s="147">
        <v>380</v>
      </c>
      <c r="E22" s="147">
        <v>457</v>
      </c>
      <c r="F22" s="147">
        <v>528</v>
      </c>
      <c r="G22" s="152">
        <v>589</v>
      </c>
      <c r="H22" s="151">
        <v>533</v>
      </c>
      <c r="I22" s="147">
        <v>571</v>
      </c>
      <c r="J22" s="147">
        <v>685</v>
      </c>
      <c r="K22" s="147">
        <v>792</v>
      </c>
      <c r="L22" s="147">
        <v>883</v>
      </c>
      <c r="M22" s="151">
        <v>711</v>
      </c>
      <c r="N22" s="147">
        <v>761</v>
      </c>
      <c r="O22" s="147">
        <v>914</v>
      </c>
      <c r="P22" s="147">
        <v>1056</v>
      </c>
      <c r="Q22" s="152">
        <v>1178</v>
      </c>
      <c r="R22" s="151">
        <v>888</v>
      </c>
      <c r="S22" s="147">
        <v>951</v>
      </c>
      <c r="T22" s="147">
        <v>1142</v>
      </c>
      <c r="U22" s="147">
        <v>1320</v>
      </c>
      <c r="V22" s="147">
        <v>1472</v>
      </c>
      <c r="W22" s="151">
        <v>1066</v>
      </c>
      <c r="X22" s="147">
        <v>1142</v>
      </c>
      <c r="Y22" s="147">
        <v>1371</v>
      </c>
      <c r="Z22" s="147">
        <v>1584</v>
      </c>
      <c r="AA22" s="152">
        <v>1767</v>
      </c>
      <c r="AB22" s="151">
        <v>1244</v>
      </c>
      <c r="AC22" s="147">
        <v>1332</v>
      </c>
      <c r="AD22" s="147">
        <v>1599</v>
      </c>
      <c r="AE22" s="147">
        <v>1848</v>
      </c>
      <c r="AF22" s="152">
        <v>2061</v>
      </c>
      <c r="AG22" s="151">
        <v>1422</v>
      </c>
      <c r="AH22" s="147">
        <v>1523</v>
      </c>
      <c r="AI22" s="147">
        <v>1828</v>
      </c>
      <c r="AJ22" s="147">
        <v>2112</v>
      </c>
      <c r="AK22" s="152">
        <v>2356</v>
      </c>
      <c r="AM22" s="151">
        <v>533</v>
      </c>
      <c r="AN22" s="147">
        <v>571</v>
      </c>
      <c r="AO22" s="147">
        <v>686</v>
      </c>
      <c r="AP22" s="147">
        <v>847</v>
      </c>
      <c r="AQ22" s="152">
        <v>1049</v>
      </c>
      <c r="AS22" s="151">
        <v>533</v>
      </c>
      <c r="AT22" s="147">
        <v>571</v>
      </c>
      <c r="AU22" s="147">
        <v>685</v>
      </c>
      <c r="AV22" s="147">
        <v>847</v>
      </c>
      <c r="AW22" s="152">
        <v>1049</v>
      </c>
      <c r="AX22" s="151">
        <v>888</v>
      </c>
      <c r="AY22" s="147">
        <v>951</v>
      </c>
      <c r="AZ22" s="147">
        <v>1142</v>
      </c>
      <c r="BA22" s="147">
        <v>1320</v>
      </c>
      <c r="BB22" s="152">
        <v>1472</v>
      </c>
      <c r="BC22" s="151">
        <v>888</v>
      </c>
      <c r="BD22" s="147">
        <v>951</v>
      </c>
      <c r="BE22" s="147">
        <v>1142</v>
      </c>
      <c r="BF22" s="147">
        <v>1320</v>
      </c>
      <c r="BG22" s="152">
        <v>1472</v>
      </c>
      <c r="BI22" s="151">
        <v>688</v>
      </c>
      <c r="BJ22" s="147">
        <v>692</v>
      </c>
      <c r="BK22" s="147">
        <v>859</v>
      </c>
      <c r="BL22" s="147">
        <v>1211</v>
      </c>
      <c r="BM22" s="152">
        <v>1458</v>
      </c>
      <c r="BO22" s="150" t="s">
        <v>99</v>
      </c>
      <c r="BP22" s="151">
        <v>688</v>
      </c>
      <c r="BQ22" s="147">
        <v>692</v>
      </c>
      <c r="BR22" s="147">
        <v>859</v>
      </c>
      <c r="BS22" s="147">
        <v>1211</v>
      </c>
      <c r="BT22" s="152">
        <v>1458</v>
      </c>
      <c r="BV22" s="150" t="s">
        <v>99</v>
      </c>
      <c r="BW22" s="151">
        <v>688</v>
      </c>
      <c r="BX22" s="147">
        <v>692</v>
      </c>
      <c r="BY22" s="147">
        <v>859</v>
      </c>
      <c r="BZ22" s="147">
        <v>1211</v>
      </c>
      <c r="CA22" s="152">
        <v>1458</v>
      </c>
    </row>
    <row r="23" spans="1:79" s="157" customFormat="1" x14ac:dyDescent="0.25">
      <c r="A23" s="153" t="s">
        <v>100</v>
      </c>
      <c r="B23" s="497">
        <v>50750</v>
      </c>
      <c r="C23" s="154">
        <v>355</v>
      </c>
      <c r="D23" s="155">
        <v>380</v>
      </c>
      <c r="E23" s="155">
        <v>457</v>
      </c>
      <c r="F23" s="155">
        <v>528</v>
      </c>
      <c r="G23" s="156">
        <v>589</v>
      </c>
      <c r="H23" s="154">
        <v>533</v>
      </c>
      <c r="I23" s="155">
        <v>571</v>
      </c>
      <c r="J23" s="155">
        <v>685</v>
      </c>
      <c r="K23" s="155">
        <v>792</v>
      </c>
      <c r="L23" s="155">
        <v>883</v>
      </c>
      <c r="M23" s="154">
        <v>711</v>
      </c>
      <c r="N23" s="155">
        <v>761</v>
      </c>
      <c r="O23" s="155">
        <v>914</v>
      </c>
      <c r="P23" s="155">
        <v>1056</v>
      </c>
      <c r="Q23" s="156">
        <v>1178</v>
      </c>
      <c r="R23" s="154">
        <v>888</v>
      </c>
      <c r="S23" s="155">
        <v>951</v>
      </c>
      <c r="T23" s="155">
        <v>1142</v>
      </c>
      <c r="U23" s="155">
        <v>1320</v>
      </c>
      <c r="V23" s="155">
        <v>1472</v>
      </c>
      <c r="W23" s="154">
        <v>1066</v>
      </c>
      <c r="X23" s="155">
        <v>1142</v>
      </c>
      <c r="Y23" s="155">
        <v>1371</v>
      </c>
      <c r="Z23" s="155">
        <v>1584</v>
      </c>
      <c r="AA23" s="156">
        <v>1767</v>
      </c>
      <c r="AB23" s="154">
        <v>1244</v>
      </c>
      <c r="AC23" s="155">
        <v>1332</v>
      </c>
      <c r="AD23" s="155">
        <v>1599</v>
      </c>
      <c r="AE23" s="155">
        <v>1848</v>
      </c>
      <c r="AF23" s="156">
        <v>2061</v>
      </c>
      <c r="AG23" s="154">
        <v>1422</v>
      </c>
      <c r="AH23" s="155">
        <v>1523</v>
      </c>
      <c r="AI23" s="155">
        <v>1828</v>
      </c>
      <c r="AJ23" s="155">
        <v>2112</v>
      </c>
      <c r="AK23" s="156">
        <v>2356</v>
      </c>
      <c r="AL23"/>
      <c r="AM23" s="154">
        <v>533</v>
      </c>
      <c r="AN23" s="155">
        <v>571</v>
      </c>
      <c r="AO23" s="155">
        <v>686</v>
      </c>
      <c r="AP23" s="155">
        <v>847</v>
      </c>
      <c r="AQ23" s="156">
        <v>1049</v>
      </c>
      <c r="AR23"/>
      <c r="AS23" s="154">
        <v>533</v>
      </c>
      <c r="AT23" s="155">
        <v>571</v>
      </c>
      <c r="AU23" s="155">
        <v>685</v>
      </c>
      <c r="AV23" s="155">
        <v>847</v>
      </c>
      <c r="AW23" s="156">
        <v>1049</v>
      </c>
      <c r="AX23" s="154">
        <v>888</v>
      </c>
      <c r="AY23" s="155">
        <v>951</v>
      </c>
      <c r="AZ23" s="155">
        <v>1142</v>
      </c>
      <c r="BA23" s="155">
        <v>1320</v>
      </c>
      <c r="BB23" s="156">
        <v>1472</v>
      </c>
      <c r="BC23" s="154">
        <v>888</v>
      </c>
      <c r="BD23" s="155">
        <v>951</v>
      </c>
      <c r="BE23" s="155">
        <v>1142</v>
      </c>
      <c r="BF23" s="155">
        <v>1320</v>
      </c>
      <c r="BG23" s="156">
        <v>1472</v>
      </c>
      <c r="BH23"/>
      <c r="BI23" s="154">
        <v>678</v>
      </c>
      <c r="BJ23" s="155">
        <v>682</v>
      </c>
      <c r="BK23" s="155">
        <v>859</v>
      </c>
      <c r="BL23" s="155">
        <v>1211</v>
      </c>
      <c r="BM23" s="156">
        <v>1458</v>
      </c>
      <c r="BN23"/>
      <c r="BO23" s="153" t="s">
        <v>100</v>
      </c>
      <c r="BP23" s="154">
        <v>678</v>
      </c>
      <c r="BQ23" s="155">
        <v>682</v>
      </c>
      <c r="BR23" s="155">
        <v>859</v>
      </c>
      <c r="BS23" s="155">
        <v>1211</v>
      </c>
      <c r="BT23" s="156">
        <v>1458</v>
      </c>
      <c r="BU23"/>
      <c r="BV23" s="153" t="s">
        <v>100</v>
      </c>
      <c r="BW23" s="154">
        <v>678</v>
      </c>
      <c r="BX23" s="155">
        <v>682</v>
      </c>
      <c r="BY23" s="155">
        <v>859</v>
      </c>
      <c r="BZ23" s="155">
        <v>1211</v>
      </c>
      <c r="CA23" s="156">
        <v>1458</v>
      </c>
    </row>
    <row r="24" spans="1:79" x14ac:dyDescent="0.25">
      <c r="A24" s="150" t="s">
        <v>101</v>
      </c>
      <c r="B24" s="496">
        <v>50750</v>
      </c>
      <c r="C24" s="151">
        <v>355</v>
      </c>
      <c r="D24" s="147">
        <v>380</v>
      </c>
      <c r="E24" s="147">
        <v>457</v>
      </c>
      <c r="F24" s="147">
        <v>528</v>
      </c>
      <c r="G24" s="152">
        <v>589</v>
      </c>
      <c r="H24" s="151">
        <v>533</v>
      </c>
      <c r="I24" s="147">
        <v>571</v>
      </c>
      <c r="J24" s="147">
        <v>685</v>
      </c>
      <c r="K24" s="147">
        <v>792</v>
      </c>
      <c r="L24" s="147">
        <v>883</v>
      </c>
      <c r="M24" s="151">
        <v>711</v>
      </c>
      <c r="N24" s="147">
        <v>761</v>
      </c>
      <c r="O24" s="147">
        <v>914</v>
      </c>
      <c r="P24" s="147">
        <v>1056</v>
      </c>
      <c r="Q24" s="152">
        <v>1178</v>
      </c>
      <c r="R24" s="151">
        <v>888</v>
      </c>
      <c r="S24" s="147">
        <v>951</v>
      </c>
      <c r="T24" s="147">
        <v>1142</v>
      </c>
      <c r="U24" s="147">
        <v>1320</v>
      </c>
      <c r="V24" s="147">
        <v>1472</v>
      </c>
      <c r="W24" s="151">
        <v>1066</v>
      </c>
      <c r="X24" s="147">
        <v>1142</v>
      </c>
      <c r="Y24" s="147">
        <v>1371</v>
      </c>
      <c r="Z24" s="147">
        <v>1584</v>
      </c>
      <c r="AA24" s="152">
        <v>1767</v>
      </c>
      <c r="AB24" s="151">
        <v>1244</v>
      </c>
      <c r="AC24" s="147">
        <v>1332</v>
      </c>
      <c r="AD24" s="147">
        <v>1599</v>
      </c>
      <c r="AE24" s="147">
        <v>1848</v>
      </c>
      <c r="AF24" s="152">
        <v>2061</v>
      </c>
      <c r="AG24" s="151">
        <v>1422</v>
      </c>
      <c r="AH24" s="147">
        <v>1523</v>
      </c>
      <c r="AI24" s="147">
        <v>1828</v>
      </c>
      <c r="AJ24" s="147">
        <v>2112</v>
      </c>
      <c r="AK24" s="152">
        <v>2356</v>
      </c>
      <c r="AM24" s="151">
        <v>533</v>
      </c>
      <c r="AN24" s="147">
        <v>571</v>
      </c>
      <c r="AO24" s="147">
        <v>686</v>
      </c>
      <c r="AP24" s="147">
        <v>847</v>
      </c>
      <c r="AQ24" s="152">
        <v>1049</v>
      </c>
      <c r="AS24" s="151">
        <v>533</v>
      </c>
      <c r="AT24" s="147">
        <v>571</v>
      </c>
      <c r="AU24" s="147">
        <v>685</v>
      </c>
      <c r="AV24" s="147">
        <v>847</v>
      </c>
      <c r="AW24" s="152">
        <v>1049</v>
      </c>
      <c r="AX24" s="151">
        <v>888</v>
      </c>
      <c r="AY24" s="147">
        <v>951</v>
      </c>
      <c r="AZ24" s="147">
        <v>1142</v>
      </c>
      <c r="BA24" s="147">
        <v>1320</v>
      </c>
      <c r="BB24" s="152">
        <v>1472</v>
      </c>
      <c r="BC24" s="151">
        <v>888</v>
      </c>
      <c r="BD24" s="147">
        <v>951</v>
      </c>
      <c r="BE24" s="147">
        <v>1142</v>
      </c>
      <c r="BF24" s="147">
        <v>1320</v>
      </c>
      <c r="BG24" s="152">
        <v>1472</v>
      </c>
      <c r="BI24" s="151">
        <v>719</v>
      </c>
      <c r="BJ24" s="147">
        <v>723</v>
      </c>
      <c r="BK24" s="147">
        <v>897</v>
      </c>
      <c r="BL24" s="147">
        <v>1101</v>
      </c>
      <c r="BM24" s="152">
        <v>1522</v>
      </c>
      <c r="BO24" s="150" t="s">
        <v>101</v>
      </c>
      <c r="BP24" s="151">
        <v>719</v>
      </c>
      <c r="BQ24" s="147">
        <v>723</v>
      </c>
      <c r="BR24" s="147">
        <v>897</v>
      </c>
      <c r="BS24" s="147">
        <v>1101</v>
      </c>
      <c r="BT24" s="152">
        <v>1472</v>
      </c>
      <c r="BV24" s="150" t="s">
        <v>101</v>
      </c>
      <c r="BW24" s="151">
        <v>719</v>
      </c>
      <c r="BX24" s="147">
        <v>723</v>
      </c>
      <c r="BY24" s="147">
        <v>897</v>
      </c>
      <c r="BZ24" s="147">
        <v>1101</v>
      </c>
      <c r="CA24" s="152">
        <v>1522</v>
      </c>
    </row>
    <row r="25" spans="1:79" s="157" customFormat="1" x14ac:dyDescent="0.25">
      <c r="A25" s="153" t="s">
        <v>102</v>
      </c>
      <c r="B25" s="497">
        <v>50750</v>
      </c>
      <c r="C25" s="154">
        <v>355</v>
      </c>
      <c r="D25" s="155">
        <v>380</v>
      </c>
      <c r="E25" s="155">
        <v>457</v>
      </c>
      <c r="F25" s="155">
        <v>528</v>
      </c>
      <c r="G25" s="156">
        <v>589</v>
      </c>
      <c r="H25" s="154">
        <v>533</v>
      </c>
      <c r="I25" s="155">
        <v>571</v>
      </c>
      <c r="J25" s="155">
        <v>685</v>
      </c>
      <c r="K25" s="155">
        <v>792</v>
      </c>
      <c r="L25" s="155">
        <v>883</v>
      </c>
      <c r="M25" s="154">
        <v>711</v>
      </c>
      <c r="N25" s="155">
        <v>761</v>
      </c>
      <c r="O25" s="155">
        <v>914</v>
      </c>
      <c r="P25" s="155">
        <v>1056</v>
      </c>
      <c r="Q25" s="156">
        <v>1178</v>
      </c>
      <c r="R25" s="154">
        <v>888</v>
      </c>
      <c r="S25" s="155">
        <v>951</v>
      </c>
      <c r="T25" s="155">
        <v>1142</v>
      </c>
      <c r="U25" s="155">
        <v>1320</v>
      </c>
      <c r="V25" s="155">
        <v>1472</v>
      </c>
      <c r="W25" s="154">
        <v>1066</v>
      </c>
      <c r="X25" s="155">
        <v>1142</v>
      </c>
      <c r="Y25" s="155">
        <v>1371</v>
      </c>
      <c r="Z25" s="155">
        <v>1584</v>
      </c>
      <c r="AA25" s="156">
        <v>1767</v>
      </c>
      <c r="AB25" s="154">
        <v>1244</v>
      </c>
      <c r="AC25" s="155">
        <v>1332</v>
      </c>
      <c r="AD25" s="155">
        <v>1599</v>
      </c>
      <c r="AE25" s="155">
        <v>1848</v>
      </c>
      <c r="AF25" s="156">
        <v>2061</v>
      </c>
      <c r="AG25" s="154">
        <v>1422</v>
      </c>
      <c r="AH25" s="155">
        <v>1523</v>
      </c>
      <c r="AI25" s="155">
        <v>1828</v>
      </c>
      <c r="AJ25" s="155">
        <v>2112</v>
      </c>
      <c r="AK25" s="156">
        <v>2356</v>
      </c>
      <c r="AL25"/>
      <c r="AM25" s="154">
        <v>533</v>
      </c>
      <c r="AN25" s="155">
        <v>571</v>
      </c>
      <c r="AO25" s="155">
        <v>686</v>
      </c>
      <c r="AP25" s="155">
        <v>847</v>
      </c>
      <c r="AQ25" s="156">
        <v>1049</v>
      </c>
      <c r="AR25"/>
      <c r="AS25" s="154">
        <v>533</v>
      </c>
      <c r="AT25" s="155">
        <v>571</v>
      </c>
      <c r="AU25" s="155">
        <v>685</v>
      </c>
      <c r="AV25" s="155">
        <v>847</v>
      </c>
      <c r="AW25" s="156">
        <v>1049</v>
      </c>
      <c r="AX25" s="154">
        <v>888</v>
      </c>
      <c r="AY25" s="155">
        <v>951</v>
      </c>
      <c r="AZ25" s="155">
        <v>1142</v>
      </c>
      <c r="BA25" s="155">
        <v>1320</v>
      </c>
      <c r="BB25" s="156">
        <v>1472</v>
      </c>
      <c r="BC25" s="154">
        <v>888</v>
      </c>
      <c r="BD25" s="155">
        <v>951</v>
      </c>
      <c r="BE25" s="155">
        <v>1142</v>
      </c>
      <c r="BF25" s="155">
        <v>1320</v>
      </c>
      <c r="BG25" s="156">
        <v>1472</v>
      </c>
      <c r="BH25"/>
      <c r="BI25" s="154">
        <v>745</v>
      </c>
      <c r="BJ25" s="155">
        <v>760</v>
      </c>
      <c r="BK25" s="155">
        <v>859</v>
      </c>
      <c r="BL25" s="155">
        <v>1211</v>
      </c>
      <c r="BM25" s="156">
        <v>1458</v>
      </c>
      <c r="BN25"/>
      <c r="BO25" s="153" t="s">
        <v>102</v>
      </c>
      <c r="BP25" s="154">
        <v>745</v>
      </c>
      <c r="BQ25" s="155">
        <v>760</v>
      </c>
      <c r="BR25" s="155">
        <v>859</v>
      </c>
      <c r="BS25" s="155">
        <v>1211</v>
      </c>
      <c r="BT25" s="156">
        <v>1458</v>
      </c>
      <c r="BU25"/>
      <c r="BV25" s="153" t="s">
        <v>102</v>
      </c>
      <c r="BW25" s="154">
        <v>745</v>
      </c>
      <c r="BX25" s="155">
        <v>760</v>
      </c>
      <c r="BY25" s="155">
        <v>859</v>
      </c>
      <c r="BZ25" s="155">
        <v>1211</v>
      </c>
      <c r="CA25" s="156">
        <v>1458</v>
      </c>
    </row>
    <row r="26" spans="1:79" x14ac:dyDescent="0.25">
      <c r="A26" s="150" t="s">
        <v>103</v>
      </c>
      <c r="B26" s="496">
        <v>50750</v>
      </c>
      <c r="C26" s="151">
        <v>355</v>
      </c>
      <c r="D26" s="147">
        <v>380</v>
      </c>
      <c r="E26" s="147">
        <v>457</v>
      </c>
      <c r="F26" s="147">
        <v>528</v>
      </c>
      <c r="G26" s="152">
        <v>589</v>
      </c>
      <c r="H26" s="151">
        <v>533</v>
      </c>
      <c r="I26" s="147">
        <v>571</v>
      </c>
      <c r="J26" s="147">
        <v>685</v>
      </c>
      <c r="K26" s="147">
        <v>792</v>
      </c>
      <c r="L26" s="147">
        <v>883</v>
      </c>
      <c r="M26" s="151">
        <v>711</v>
      </c>
      <c r="N26" s="147">
        <v>761</v>
      </c>
      <c r="O26" s="147">
        <v>914</v>
      </c>
      <c r="P26" s="147">
        <v>1056</v>
      </c>
      <c r="Q26" s="152">
        <v>1178</v>
      </c>
      <c r="R26" s="151">
        <v>888</v>
      </c>
      <c r="S26" s="147">
        <v>951</v>
      </c>
      <c r="T26" s="147">
        <v>1142</v>
      </c>
      <c r="U26" s="147">
        <v>1320</v>
      </c>
      <c r="V26" s="147">
        <v>1472</v>
      </c>
      <c r="W26" s="151">
        <v>1066</v>
      </c>
      <c r="X26" s="147">
        <v>1142</v>
      </c>
      <c r="Y26" s="147">
        <v>1371</v>
      </c>
      <c r="Z26" s="147">
        <v>1584</v>
      </c>
      <c r="AA26" s="152">
        <v>1767</v>
      </c>
      <c r="AB26" s="151">
        <v>1244</v>
      </c>
      <c r="AC26" s="147">
        <v>1332</v>
      </c>
      <c r="AD26" s="147">
        <v>1599</v>
      </c>
      <c r="AE26" s="147">
        <v>1848</v>
      </c>
      <c r="AF26" s="152">
        <v>2061</v>
      </c>
      <c r="AG26" s="151">
        <v>1422</v>
      </c>
      <c r="AH26" s="147">
        <v>1523</v>
      </c>
      <c r="AI26" s="147">
        <v>1828</v>
      </c>
      <c r="AJ26" s="147">
        <v>2112</v>
      </c>
      <c r="AK26" s="152">
        <v>2356</v>
      </c>
      <c r="AM26" s="151">
        <v>533</v>
      </c>
      <c r="AN26" s="147">
        <v>571</v>
      </c>
      <c r="AO26" s="147">
        <v>686</v>
      </c>
      <c r="AP26" s="147">
        <v>847</v>
      </c>
      <c r="AQ26" s="152">
        <v>1049</v>
      </c>
      <c r="AS26" s="151">
        <v>533</v>
      </c>
      <c r="AT26" s="147">
        <v>571</v>
      </c>
      <c r="AU26" s="147">
        <v>685</v>
      </c>
      <c r="AV26" s="147">
        <v>847</v>
      </c>
      <c r="AW26" s="152">
        <v>1049</v>
      </c>
      <c r="AX26" s="151">
        <v>888</v>
      </c>
      <c r="AY26" s="147">
        <v>951</v>
      </c>
      <c r="AZ26" s="147">
        <v>1142</v>
      </c>
      <c r="BA26" s="147">
        <v>1320</v>
      </c>
      <c r="BB26" s="152">
        <v>1472</v>
      </c>
      <c r="BC26" s="151">
        <v>888</v>
      </c>
      <c r="BD26" s="147">
        <v>951</v>
      </c>
      <c r="BE26" s="147">
        <v>1142</v>
      </c>
      <c r="BF26" s="147">
        <v>1320</v>
      </c>
      <c r="BG26" s="152">
        <v>1472</v>
      </c>
      <c r="BI26" s="151">
        <v>664</v>
      </c>
      <c r="BJ26" s="147">
        <v>668</v>
      </c>
      <c r="BK26" s="147">
        <v>859</v>
      </c>
      <c r="BL26" s="147">
        <v>1211</v>
      </c>
      <c r="BM26" s="152">
        <v>1458</v>
      </c>
      <c r="BO26" s="150" t="s">
        <v>103</v>
      </c>
      <c r="BP26" s="151">
        <v>664</v>
      </c>
      <c r="BQ26" s="147">
        <v>668</v>
      </c>
      <c r="BR26" s="147">
        <v>859</v>
      </c>
      <c r="BS26" s="147">
        <v>1211</v>
      </c>
      <c r="BT26" s="152">
        <v>1458</v>
      </c>
      <c r="BV26" s="150" t="s">
        <v>103</v>
      </c>
      <c r="BW26" s="151">
        <v>664</v>
      </c>
      <c r="BX26" s="147">
        <v>668</v>
      </c>
      <c r="BY26" s="147">
        <v>859</v>
      </c>
      <c r="BZ26" s="147">
        <v>1211</v>
      </c>
      <c r="CA26" s="152">
        <v>1458</v>
      </c>
    </row>
    <row r="27" spans="1:79" s="157" customFormat="1" x14ac:dyDescent="0.25">
      <c r="A27" s="153" t="s">
        <v>104</v>
      </c>
      <c r="B27" s="497">
        <v>50750</v>
      </c>
      <c r="C27" s="154">
        <v>355</v>
      </c>
      <c r="D27" s="155">
        <v>380</v>
      </c>
      <c r="E27" s="155">
        <v>457</v>
      </c>
      <c r="F27" s="155">
        <v>528</v>
      </c>
      <c r="G27" s="156">
        <v>589</v>
      </c>
      <c r="H27" s="154">
        <v>533</v>
      </c>
      <c r="I27" s="155">
        <v>571</v>
      </c>
      <c r="J27" s="155">
        <v>685</v>
      </c>
      <c r="K27" s="155">
        <v>792</v>
      </c>
      <c r="L27" s="155">
        <v>883</v>
      </c>
      <c r="M27" s="154">
        <v>711</v>
      </c>
      <c r="N27" s="155">
        <v>761</v>
      </c>
      <c r="O27" s="155">
        <v>914</v>
      </c>
      <c r="P27" s="155">
        <v>1056</v>
      </c>
      <c r="Q27" s="156">
        <v>1178</v>
      </c>
      <c r="R27" s="154">
        <v>888</v>
      </c>
      <c r="S27" s="155">
        <v>951</v>
      </c>
      <c r="T27" s="155">
        <v>1142</v>
      </c>
      <c r="U27" s="155">
        <v>1320</v>
      </c>
      <c r="V27" s="155">
        <v>1472</v>
      </c>
      <c r="W27" s="154">
        <v>1066</v>
      </c>
      <c r="X27" s="155">
        <v>1142</v>
      </c>
      <c r="Y27" s="155">
        <v>1371</v>
      </c>
      <c r="Z27" s="155">
        <v>1584</v>
      </c>
      <c r="AA27" s="156">
        <v>1767</v>
      </c>
      <c r="AB27" s="154">
        <v>1244</v>
      </c>
      <c r="AC27" s="155">
        <v>1332</v>
      </c>
      <c r="AD27" s="155">
        <v>1599</v>
      </c>
      <c r="AE27" s="155">
        <v>1848</v>
      </c>
      <c r="AF27" s="156">
        <v>2061</v>
      </c>
      <c r="AG27" s="154">
        <v>1422</v>
      </c>
      <c r="AH27" s="155">
        <v>1523</v>
      </c>
      <c r="AI27" s="155">
        <v>1828</v>
      </c>
      <c r="AJ27" s="155">
        <v>2112</v>
      </c>
      <c r="AK27" s="156">
        <v>2356</v>
      </c>
      <c r="AL27"/>
      <c r="AM27" s="154">
        <v>533</v>
      </c>
      <c r="AN27" s="155">
        <v>571</v>
      </c>
      <c r="AO27" s="155">
        <v>686</v>
      </c>
      <c r="AP27" s="155">
        <v>847</v>
      </c>
      <c r="AQ27" s="156">
        <v>1049</v>
      </c>
      <c r="AR27"/>
      <c r="AS27" s="154">
        <v>533</v>
      </c>
      <c r="AT27" s="155">
        <v>571</v>
      </c>
      <c r="AU27" s="155">
        <v>685</v>
      </c>
      <c r="AV27" s="155">
        <v>847</v>
      </c>
      <c r="AW27" s="156">
        <v>1049</v>
      </c>
      <c r="AX27" s="154">
        <v>888</v>
      </c>
      <c r="AY27" s="155">
        <v>951</v>
      </c>
      <c r="AZ27" s="155">
        <v>1142</v>
      </c>
      <c r="BA27" s="155">
        <v>1320</v>
      </c>
      <c r="BB27" s="156">
        <v>1472</v>
      </c>
      <c r="BC27" s="154">
        <v>888</v>
      </c>
      <c r="BD27" s="155">
        <v>951</v>
      </c>
      <c r="BE27" s="155">
        <v>1142</v>
      </c>
      <c r="BF27" s="155">
        <v>1320</v>
      </c>
      <c r="BG27" s="156">
        <v>1472</v>
      </c>
      <c r="BH27"/>
      <c r="BI27" s="154">
        <v>720</v>
      </c>
      <c r="BJ27" s="155">
        <v>725</v>
      </c>
      <c r="BK27" s="155">
        <v>899</v>
      </c>
      <c r="BL27" s="155">
        <v>1267</v>
      </c>
      <c r="BM27" s="156">
        <v>1526</v>
      </c>
      <c r="BN27"/>
      <c r="BO27" s="153" t="s">
        <v>104</v>
      </c>
      <c r="BP27" s="154">
        <v>720</v>
      </c>
      <c r="BQ27" s="155">
        <v>725</v>
      </c>
      <c r="BR27" s="155">
        <v>899</v>
      </c>
      <c r="BS27" s="155">
        <v>1267</v>
      </c>
      <c r="BT27" s="156">
        <v>1472</v>
      </c>
      <c r="BU27"/>
      <c r="BV27" s="153" t="s">
        <v>104</v>
      </c>
      <c r="BW27" s="154">
        <v>720</v>
      </c>
      <c r="BX27" s="155">
        <v>725</v>
      </c>
      <c r="BY27" s="155">
        <v>899</v>
      </c>
      <c r="BZ27" s="155">
        <v>1267</v>
      </c>
      <c r="CA27" s="156">
        <v>1526</v>
      </c>
    </row>
    <row r="28" spans="1:79" x14ac:dyDescent="0.25">
      <c r="A28" s="150" t="s">
        <v>105</v>
      </c>
      <c r="B28" s="496">
        <v>50750</v>
      </c>
      <c r="C28" s="151">
        <v>355</v>
      </c>
      <c r="D28" s="147">
        <v>380</v>
      </c>
      <c r="E28" s="147">
        <v>457</v>
      </c>
      <c r="F28" s="147">
        <v>528</v>
      </c>
      <c r="G28" s="152">
        <v>589</v>
      </c>
      <c r="H28" s="151">
        <v>533</v>
      </c>
      <c r="I28" s="147">
        <v>571</v>
      </c>
      <c r="J28" s="147">
        <v>685</v>
      </c>
      <c r="K28" s="147">
        <v>792</v>
      </c>
      <c r="L28" s="147">
        <v>883</v>
      </c>
      <c r="M28" s="151">
        <v>711</v>
      </c>
      <c r="N28" s="147">
        <v>761</v>
      </c>
      <c r="O28" s="147">
        <v>914</v>
      </c>
      <c r="P28" s="147">
        <v>1056</v>
      </c>
      <c r="Q28" s="152">
        <v>1178</v>
      </c>
      <c r="R28" s="151">
        <v>888</v>
      </c>
      <c r="S28" s="147">
        <v>951</v>
      </c>
      <c r="T28" s="147">
        <v>1142</v>
      </c>
      <c r="U28" s="147">
        <v>1320</v>
      </c>
      <c r="V28" s="147">
        <v>1472</v>
      </c>
      <c r="W28" s="151">
        <v>1066</v>
      </c>
      <c r="X28" s="147">
        <v>1142</v>
      </c>
      <c r="Y28" s="147">
        <v>1371</v>
      </c>
      <c r="Z28" s="147">
        <v>1584</v>
      </c>
      <c r="AA28" s="152">
        <v>1767</v>
      </c>
      <c r="AB28" s="151">
        <v>1244</v>
      </c>
      <c r="AC28" s="147">
        <v>1332</v>
      </c>
      <c r="AD28" s="147">
        <v>1599</v>
      </c>
      <c r="AE28" s="147">
        <v>1848</v>
      </c>
      <c r="AF28" s="152">
        <v>2061</v>
      </c>
      <c r="AG28" s="151">
        <v>1422</v>
      </c>
      <c r="AH28" s="147">
        <v>1523</v>
      </c>
      <c r="AI28" s="147">
        <v>1828</v>
      </c>
      <c r="AJ28" s="147">
        <v>2112</v>
      </c>
      <c r="AK28" s="152">
        <v>2356</v>
      </c>
      <c r="AM28" s="151">
        <v>533</v>
      </c>
      <c r="AN28" s="147">
        <v>571</v>
      </c>
      <c r="AO28" s="147">
        <v>686</v>
      </c>
      <c r="AP28" s="147">
        <v>847</v>
      </c>
      <c r="AQ28" s="152">
        <v>1049</v>
      </c>
      <c r="AS28" s="151">
        <v>533</v>
      </c>
      <c r="AT28" s="147">
        <v>571</v>
      </c>
      <c r="AU28" s="147">
        <v>685</v>
      </c>
      <c r="AV28" s="147">
        <v>847</v>
      </c>
      <c r="AW28" s="152">
        <v>1049</v>
      </c>
      <c r="AX28" s="151">
        <v>888</v>
      </c>
      <c r="AY28" s="147">
        <v>951</v>
      </c>
      <c r="AZ28" s="147">
        <v>1142</v>
      </c>
      <c r="BA28" s="147">
        <v>1320</v>
      </c>
      <c r="BB28" s="152">
        <v>1472</v>
      </c>
      <c r="BC28" s="151">
        <v>888</v>
      </c>
      <c r="BD28" s="147">
        <v>951</v>
      </c>
      <c r="BE28" s="147">
        <v>1142</v>
      </c>
      <c r="BF28" s="147">
        <v>1320</v>
      </c>
      <c r="BG28" s="152">
        <v>1472</v>
      </c>
      <c r="BI28" s="151">
        <v>692</v>
      </c>
      <c r="BJ28" s="147">
        <v>696</v>
      </c>
      <c r="BK28" s="147">
        <v>859</v>
      </c>
      <c r="BL28" s="147">
        <v>1039</v>
      </c>
      <c r="BM28" s="152">
        <v>1458</v>
      </c>
      <c r="BO28" s="150" t="s">
        <v>105</v>
      </c>
      <c r="BP28" s="151">
        <v>692</v>
      </c>
      <c r="BQ28" s="147">
        <v>696</v>
      </c>
      <c r="BR28" s="147">
        <v>859</v>
      </c>
      <c r="BS28" s="147">
        <v>1039</v>
      </c>
      <c r="BT28" s="152">
        <v>1458</v>
      </c>
      <c r="BV28" s="150" t="s">
        <v>105</v>
      </c>
      <c r="BW28" s="151">
        <v>692</v>
      </c>
      <c r="BX28" s="147">
        <v>696</v>
      </c>
      <c r="BY28" s="147">
        <v>859</v>
      </c>
      <c r="BZ28" s="147">
        <v>1039</v>
      </c>
      <c r="CA28" s="152">
        <v>1458</v>
      </c>
    </row>
    <row r="29" spans="1:79" s="157" customFormat="1" x14ac:dyDescent="0.25">
      <c r="A29" s="153" t="s">
        <v>106</v>
      </c>
      <c r="B29" s="497">
        <v>50750</v>
      </c>
      <c r="C29" s="154">
        <v>355</v>
      </c>
      <c r="D29" s="155">
        <v>380</v>
      </c>
      <c r="E29" s="155">
        <v>457</v>
      </c>
      <c r="F29" s="155">
        <v>528</v>
      </c>
      <c r="G29" s="156">
        <v>589</v>
      </c>
      <c r="H29" s="154">
        <v>533</v>
      </c>
      <c r="I29" s="155">
        <v>571</v>
      </c>
      <c r="J29" s="155">
        <v>685</v>
      </c>
      <c r="K29" s="155">
        <v>792</v>
      </c>
      <c r="L29" s="155">
        <v>883</v>
      </c>
      <c r="M29" s="154">
        <v>711</v>
      </c>
      <c r="N29" s="155">
        <v>761</v>
      </c>
      <c r="O29" s="155">
        <v>914</v>
      </c>
      <c r="P29" s="155">
        <v>1056</v>
      </c>
      <c r="Q29" s="156">
        <v>1178</v>
      </c>
      <c r="R29" s="154">
        <v>888</v>
      </c>
      <c r="S29" s="155">
        <v>951</v>
      </c>
      <c r="T29" s="155">
        <v>1142</v>
      </c>
      <c r="U29" s="155">
        <v>1320</v>
      </c>
      <c r="V29" s="155">
        <v>1472</v>
      </c>
      <c r="W29" s="154">
        <v>1066</v>
      </c>
      <c r="X29" s="155">
        <v>1142</v>
      </c>
      <c r="Y29" s="155">
        <v>1371</v>
      </c>
      <c r="Z29" s="155">
        <v>1584</v>
      </c>
      <c r="AA29" s="156">
        <v>1767</v>
      </c>
      <c r="AB29" s="154">
        <v>1244</v>
      </c>
      <c r="AC29" s="155">
        <v>1332</v>
      </c>
      <c r="AD29" s="155">
        <v>1599</v>
      </c>
      <c r="AE29" s="155">
        <v>1848</v>
      </c>
      <c r="AF29" s="156">
        <v>2061</v>
      </c>
      <c r="AG29" s="154">
        <v>1422</v>
      </c>
      <c r="AH29" s="155">
        <v>1523</v>
      </c>
      <c r="AI29" s="155">
        <v>1828</v>
      </c>
      <c r="AJ29" s="155">
        <v>2112</v>
      </c>
      <c r="AK29" s="156">
        <v>2356</v>
      </c>
      <c r="AL29"/>
      <c r="AM29" s="154">
        <v>533</v>
      </c>
      <c r="AN29" s="155">
        <v>571</v>
      </c>
      <c r="AO29" s="155">
        <v>686</v>
      </c>
      <c r="AP29" s="155">
        <v>847</v>
      </c>
      <c r="AQ29" s="156">
        <v>1049</v>
      </c>
      <c r="AR29"/>
      <c r="AS29" s="154">
        <v>533</v>
      </c>
      <c r="AT29" s="155">
        <v>571</v>
      </c>
      <c r="AU29" s="155">
        <v>685</v>
      </c>
      <c r="AV29" s="155">
        <v>847</v>
      </c>
      <c r="AW29" s="156">
        <v>1049</v>
      </c>
      <c r="AX29" s="154">
        <v>888</v>
      </c>
      <c r="AY29" s="155">
        <v>951</v>
      </c>
      <c r="AZ29" s="155">
        <v>1142</v>
      </c>
      <c r="BA29" s="155">
        <v>1320</v>
      </c>
      <c r="BB29" s="156">
        <v>1472</v>
      </c>
      <c r="BC29" s="154">
        <v>888</v>
      </c>
      <c r="BD29" s="155">
        <v>951</v>
      </c>
      <c r="BE29" s="155">
        <v>1142</v>
      </c>
      <c r="BF29" s="155">
        <v>1320</v>
      </c>
      <c r="BG29" s="156">
        <v>1472</v>
      </c>
      <c r="BH29"/>
      <c r="BI29" s="154">
        <v>745</v>
      </c>
      <c r="BJ29" s="155">
        <v>765</v>
      </c>
      <c r="BK29" s="155">
        <v>859</v>
      </c>
      <c r="BL29" s="155">
        <v>1211</v>
      </c>
      <c r="BM29" s="156">
        <v>1338</v>
      </c>
      <c r="BN29"/>
      <c r="BO29" s="153" t="s">
        <v>106</v>
      </c>
      <c r="BP29" s="154">
        <v>745</v>
      </c>
      <c r="BQ29" s="155">
        <v>765</v>
      </c>
      <c r="BR29" s="155">
        <v>859</v>
      </c>
      <c r="BS29" s="155">
        <v>1211</v>
      </c>
      <c r="BT29" s="156">
        <v>1338</v>
      </c>
      <c r="BU29"/>
      <c r="BV29" s="153" t="s">
        <v>106</v>
      </c>
      <c r="BW29" s="154">
        <v>745</v>
      </c>
      <c r="BX29" s="155">
        <v>765</v>
      </c>
      <c r="BY29" s="155">
        <v>859</v>
      </c>
      <c r="BZ29" s="155">
        <v>1211</v>
      </c>
      <c r="CA29" s="156">
        <v>1338</v>
      </c>
    </row>
    <row r="30" spans="1:79" x14ac:dyDescent="0.25">
      <c r="A30" s="150" t="s">
        <v>107</v>
      </c>
      <c r="B30" s="496">
        <v>54150</v>
      </c>
      <c r="C30" s="151">
        <v>379</v>
      </c>
      <c r="D30" s="147">
        <v>406</v>
      </c>
      <c r="E30" s="147">
        <v>487</v>
      </c>
      <c r="F30" s="147">
        <v>563</v>
      </c>
      <c r="G30" s="152">
        <v>628</v>
      </c>
      <c r="H30" s="151">
        <v>569</v>
      </c>
      <c r="I30" s="147">
        <v>609</v>
      </c>
      <c r="J30" s="147">
        <v>731</v>
      </c>
      <c r="K30" s="147">
        <v>844</v>
      </c>
      <c r="L30" s="147">
        <v>942</v>
      </c>
      <c r="M30" s="151">
        <v>759</v>
      </c>
      <c r="N30" s="147">
        <v>813</v>
      </c>
      <c r="O30" s="147">
        <v>975</v>
      </c>
      <c r="P30" s="147">
        <v>1126</v>
      </c>
      <c r="Q30" s="152">
        <v>1257</v>
      </c>
      <c r="R30" s="151">
        <v>948</v>
      </c>
      <c r="S30" s="147">
        <v>1016</v>
      </c>
      <c r="T30" s="147">
        <v>1218</v>
      </c>
      <c r="U30" s="147">
        <v>1408</v>
      </c>
      <c r="V30" s="147">
        <v>1571</v>
      </c>
      <c r="W30" s="151">
        <v>1138</v>
      </c>
      <c r="X30" s="147">
        <v>1219</v>
      </c>
      <c r="Y30" s="147">
        <v>1462</v>
      </c>
      <c r="Z30" s="147">
        <v>1689</v>
      </c>
      <c r="AA30" s="152">
        <v>1885</v>
      </c>
      <c r="AB30" s="151">
        <v>1328</v>
      </c>
      <c r="AC30" s="147">
        <v>1422</v>
      </c>
      <c r="AD30" s="147">
        <v>1706</v>
      </c>
      <c r="AE30" s="147">
        <v>1971</v>
      </c>
      <c r="AF30" s="152">
        <v>2199</v>
      </c>
      <c r="AG30" s="151">
        <v>1518</v>
      </c>
      <c r="AH30" s="147">
        <v>1626</v>
      </c>
      <c r="AI30" s="147">
        <v>1950</v>
      </c>
      <c r="AJ30" s="147">
        <v>2253</v>
      </c>
      <c r="AK30" s="152">
        <v>2514</v>
      </c>
      <c r="AM30" s="151">
        <v>568</v>
      </c>
      <c r="AN30" s="147">
        <v>609</v>
      </c>
      <c r="AO30" s="147">
        <v>731</v>
      </c>
      <c r="AP30" s="147">
        <v>847</v>
      </c>
      <c r="AQ30" s="152">
        <v>1049</v>
      </c>
      <c r="AS30" s="151">
        <v>569</v>
      </c>
      <c r="AT30" s="147">
        <v>609</v>
      </c>
      <c r="AU30" s="147">
        <v>731</v>
      </c>
      <c r="AV30" s="147">
        <v>863</v>
      </c>
      <c r="AW30" s="152">
        <v>1049</v>
      </c>
      <c r="AX30" s="151">
        <v>948</v>
      </c>
      <c r="AY30" s="147">
        <v>1016</v>
      </c>
      <c r="AZ30" s="147">
        <v>1218</v>
      </c>
      <c r="BA30" s="147">
        <v>1408</v>
      </c>
      <c r="BB30" s="152">
        <v>1571</v>
      </c>
      <c r="BC30" s="151">
        <v>948</v>
      </c>
      <c r="BD30" s="147">
        <v>1016</v>
      </c>
      <c r="BE30" s="147">
        <v>1218</v>
      </c>
      <c r="BF30" s="147">
        <v>1408</v>
      </c>
      <c r="BG30" s="152">
        <v>1571</v>
      </c>
      <c r="BI30" s="151">
        <v>1090</v>
      </c>
      <c r="BJ30" s="147">
        <v>1097</v>
      </c>
      <c r="BK30" s="147">
        <v>1352</v>
      </c>
      <c r="BL30" s="147">
        <v>1635</v>
      </c>
      <c r="BM30" s="152">
        <v>2232</v>
      </c>
      <c r="BO30" s="150" t="s">
        <v>107</v>
      </c>
      <c r="BP30" s="151">
        <v>948</v>
      </c>
      <c r="BQ30" s="147">
        <v>1016</v>
      </c>
      <c r="BR30" s="147">
        <v>1218</v>
      </c>
      <c r="BS30" s="147">
        <v>1408</v>
      </c>
      <c r="BT30" s="152">
        <v>1571</v>
      </c>
      <c r="BV30" s="150" t="s">
        <v>107</v>
      </c>
      <c r="BW30" s="151">
        <v>1090</v>
      </c>
      <c r="BX30" s="147">
        <v>1097</v>
      </c>
      <c r="BY30" s="147">
        <v>1352</v>
      </c>
      <c r="BZ30" s="147">
        <v>1635</v>
      </c>
      <c r="CA30" s="152">
        <v>1985</v>
      </c>
    </row>
    <row r="31" spans="1:79" s="157" customFormat="1" x14ac:dyDescent="0.25">
      <c r="A31" s="153" t="s">
        <v>108</v>
      </c>
      <c r="B31" s="497">
        <v>50750</v>
      </c>
      <c r="C31" s="154">
        <v>355</v>
      </c>
      <c r="D31" s="155">
        <v>380</v>
      </c>
      <c r="E31" s="155">
        <v>457</v>
      </c>
      <c r="F31" s="155">
        <v>528</v>
      </c>
      <c r="G31" s="156">
        <v>589</v>
      </c>
      <c r="H31" s="154">
        <v>533</v>
      </c>
      <c r="I31" s="155">
        <v>571</v>
      </c>
      <c r="J31" s="155">
        <v>685</v>
      </c>
      <c r="K31" s="155">
        <v>792</v>
      </c>
      <c r="L31" s="155">
        <v>883</v>
      </c>
      <c r="M31" s="154">
        <v>711</v>
      </c>
      <c r="N31" s="155">
        <v>761</v>
      </c>
      <c r="O31" s="155">
        <v>914</v>
      </c>
      <c r="P31" s="155">
        <v>1056</v>
      </c>
      <c r="Q31" s="156">
        <v>1178</v>
      </c>
      <c r="R31" s="154">
        <v>888</v>
      </c>
      <c r="S31" s="155">
        <v>951</v>
      </c>
      <c r="T31" s="155">
        <v>1142</v>
      </c>
      <c r="U31" s="155">
        <v>1320</v>
      </c>
      <c r="V31" s="155">
        <v>1472</v>
      </c>
      <c r="W31" s="154">
        <v>1066</v>
      </c>
      <c r="X31" s="155">
        <v>1142</v>
      </c>
      <c r="Y31" s="155">
        <v>1371</v>
      </c>
      <c r="Z31" s="155">
        <v>1584</v>
      </c>
      <c r="AA31" s="156">
        <v>1767</v>
      </c>
      <c r="AB31" s="154">
        <v>1244</v>
      </c>
      <c r="AC31" s="155">
        <v>1332</v>
      </c>
      <c r="AD31" s="155">
        <v>1599</v>
      </c>
      <c r="AE31" s="155">
        <v>1848</v>
      </c>
      <c r="AF31" s="156">
        <v>2061</v>
      </c>
      <c r="AG31" s="154">
        <v>1422</v>
      </c>
      <c r="AH31" s="155">
        <v>1523</v>
      </c>
      <c r="AI31" s="155">
        <v>1828</v>
      </c>
      <c r="AJ31" s="155">
        <v>2112</v>
      </c>
      <c r="AK31" s="156">
        <v>2356</v>
      </c>
      <c r="AL31"/>
      <c r="AM31" s="154">
        <v>533</v>
      </c>
      <c r="AN31" s="155">
        <v>571</v>
      </c>
      <c r="AO31" s="155">
        <v>686</v>
      </c>
      <c r="AP31" s="155">
        <v>847</v>
      </c>
      <c r="AQ31" s="156">
        <v>1049</v>
      </c>
      <c r="AR31"/>
      <c r="AS31" s="154">
        <v>533</v>
      </c>
      <c r="AT31" s="155">
        <v>571</v>
      </c>
      <c r="AU31" s="155">
        <v>685</v>
      </c>
      <c r="AV31" s="155">
        <v>847</v>
      </c>
      <c r="AW31" s="156">
        <v>1049</v>
      </c>
      <c r="AX31" s="154">
        <v>888</v>
      </c>
      <c r="AY31" s="155">
        <v>951</v>
      </c>
      <c r="AZ31" s="155">
        <v>1142</v>
      </c>
      <c r="BA31" s="155">
        <v>1320</v>
      </c>
      <c r="BB31" s="156">
        <v>1472</v>
      </c>
      <c r="BC31" s="154">
        <v>888</v>
      </c>
      <c r="BD31" s="155">
        <v>951</v>
      </c>
      <c r="BE31" s="155">
        <v>1142</v>
      </c>
      <c r="BF31" s="155">
        <v>1320</v>
      </c>
      <c r="BG31" s="156">
        <v>1472</v>
      </c>
      <c r="BH31"/>
      <c r="BI31" s="154">
        <v>665</v>
      </c>
      <c r="BJ31" s="155">
        <v>670</v>
      </c>
      <c r="BK31" s="155">
        <v>859</v>
      </c>
      <c r="BL31" s="155">
        <v>1211</v>
      </c>
      <c r="BM31" s="156">
        <v>1458</v>
      </c>
      <c r="BN31"/>
      <c r="BO31" s="153" t="s">
        <v>108</v>
      </c>
      <c r="BP31" s="154">
        <v>665</v>
      </c>
      <c r="BQ31" s="155">
        <v>670</v>
      </c>
      <c r="BR31" s="155">
        <v>859</v>
      </c>
      <c r="BS31" s="155">
        <v>1211</v>
      </c>
      <c r="BT31" s="156">
        <v>1458</v>
      </c>
      <c r="BU31"/>
      <c r="BV31" s="153" t="s">
        <v>108</v>
      </c>
      <c r="BW31" s="154">
        <v>665</v>
      </c>
      <c r="BX31" s="155">
        <v>670</v>
      </c>
      <c r="BY31" s="155">
        <v>859</v>
      </c>
      <c r="BZ31" s="155">
        <v>1211</v>
      </c>
      <c r="CA31" s="156">
        <v>1458</v>
      </c>
    </row>
    <row r="32" spans="1:79" x14ac:dyDescent="0.25">
      <c r="A32" s="150" t="s">
        <v>109</v>
      </c>
      <c r="B32" s="496">
        <v>56250</v>
      </c>
      <c r="C32" s="151">
        <v>394</v>
      </c>
      <c r="D32" s="147">
        <v>422</v>
      </c>
      <c r="E32" s="147">
        <v>506</v>
      </c>
      <c r="F32" s="147">
        <v>585</v>
      </c>
      <c r="G32" s="152">
        <v>652</v>
      </c>
      <c r="H32" s="151">
        <v>591</v>
      </c>
      <c r="I32" s="147">
        <v>633</v>
      </c>
      <c r="J32" s="147">
        <v>759</v>
      </c>
      <c r="K32" s="147">
        <v>877</v>
      </c>
      <c r="L32" s="147">
        <v>978</v>
      </c>
      <c r="M32" s="151">
        <v>788</v>
      </c>
      <c r="N32" s="147">
        <v>844</v>
      </c>
      <c r="O32" s="147">
        <v>1013</v>
      </c>
      <c r="P32" s="147">
        <v>1170</v>
      </c>
      <c r="Q32" s="152">
        <v>1305</v>
      </c>
      <c r="R32" s="151">
        <v>985</v>
      </c>
      <c r="S32" s="147">
        <v>1055</v>
      </c>
      <c r="T32" s="147">
        <v>1266</v>
      </c>
      <c r="U32" s="147">
        <v>1462</v>
      </c>
      <c r="V32" s="147">
        <v>1631</v>
      </c>
      <c r="W32" s="151">
        <v>1182</v>
      </c>
      <c r="X32" s="147">
        <v>1266</v>
      </c>
      <c r="Y32" s="147">
        <v>1519</v>
      </c>
      <c r="Z32" s="147">
        <v>1755</v>
      </c>
      <c r="AA32" s="152">
        <v>1957</v>
      </c>
      <c r="AB32" s="151">
        <v>1379</v>
      </c>
      <c r="AC32" s="147">
        <v>1477</v>
      </c>
      <c r="AD32" s="147">
        <v>1772</v>
      </c>
      <c r="AE32" s="147">
        <v>2047</v>
      </c>
      <c r="AF32" s="152">
        <v>2283</v>
      </c>
      <c r="AG32" s="151">
        <v>1576</v>
      </c>
      <c r="AH32" s="147">
        <v>1688</v>
      </c>
      <c r="AI32" s="147">
        <v>2026</v>
      </c>
      <c r="AJ32" s="147">
        <v>2340</v>
      </c>
      <c r="AK32" s="152">
        <v>2610</v>
      </c>
      <c r="AM32" s="151">
        <v>591</v>
      </c>
      <c r="AN32" s="147">
        <v>633</v>
      </c>
      <c r="AO32" s="147">
        <v>760</v>
      </c>
      <c r="AP32" s="147">
        <v>877</v>
      </c>
      <c r="AQ32" s="152">
        <v>1049</v>
      </c>
      <c r="AS32" s="151">
        <v>591</v>
      </c>
      <c r="AT32" s="147">
        <v>633</v>
      </c>
      <c r="AU32" s="147">
        <v>759</v>
      </c>
      <c r="AV32" s="147">
        <v>879</v>
      </c>
      <c r="AW32" s="152">
        <v>1049</v>
      </c>
      <c r="AX32" s="151">
        <v>985</v>
      </c>
      <c r="AY32" s="147">
        <v>1055</v>
      </c>
      <c r="AZ32" s="147">
        <v>1266</v>
      </c>
      <c r="BA32" s="147">
        <v>1462</v>
      </c>
      <c r="BB32" s="152">
        <v>1631</v>
      </c>
      <c r="BC32" s="151">
        <v>985</v>
      </c>
      <c r="BD32" s="147">
        <v>1055</v>
      </c>
      <c r="BE32" s="147">
        <v>1266</v>
      </c>
      <c r="BF32" s="147">
        <v>1462</v>
      </c>
      <c r="BG32" s="152">
        <v>1631</v>
      </c>
      <c r="BI32" s="151">
        <v>737</v>
      </c>
      <c r="BJ32" s="147">
        <v>852</v>
      </c>
      <c r="BK32" s="147">
        <v>1087</v>
      </c>
      <c r="BL32" s="147">
        <v>1314</v>
      </c>
      <c r="BM32" s="152">
        <v>1501</v>
      </c>
      <c r="BO32" s="150" t="s">
        <v>109</v>
      </c>
      <c r="BP32" s="151">
        <v>737</v>
      </c>
      <c r="BQ32" s="147">
        <v>852</v>
      </c>
      <c r="BR32" s="147">
        <v>1087</v>
      </c>
      <c r="BS32" s="147">
        <v>1314</v>
      </c>
      <c r="BT32" s="152">
        <v>1501</v>
      </c>
      <c r="BV32" s="150" t="s">
        <v>109</v>
      </c>
      <c r="BW32" s="151">
        <v>737</v>
      </c>
      <c r="BX32" s="147">
        <v>852</v>
      </c>
      <c r="BY32" s="147">
        <v>1087</v>
      </c>
      <c r="BZ32" s="147">
        <v>1314</v>
      </c>
      <c r="CA32" s="152">
        <v>1501</v>
      </c>
    </row>
    <row r="33" spans="1:79" s="157" customFormat="1" x14ac:dyDescent="0.25">
      <c r="A33" s="153" t="s">
        <v>110</v>
      </c>
      <c r="B33" s="497">
        <v>54250</v>
      </c>
      <c r="C33" s="154">
        <v>380</v>
      </c>
      <c r="D33" s="155">
        <v>407</v>
      </c>
      <c r="E33" s="155">
        <v>488</v>
      </c>
      <c r="F33" s="155">
        <v>564</v>
      </c>
      <c r="G33" s="156">
        <v>629</v>
      </c>
      <c r="H33" s="154">
        <v>570</v>
      </c>
      <c r="I33" s="155">
        <v>610</v>
      </c>
      <c r="J33" s="155">
        <v>732</v>
      </c>
      <c r="K33" s="155">
        <v>846</v>
      </c>
      <c r="L33" s="155">
        <v>944</v>
      </c>
      <c r="M33" s="154">
        <v>760</v>
      </c>
      <c r="N33" s="155">
        <v>814</v>
      </c>
      <c r="O33" s="155">
        <v>977</v>
      </c>
      <c r="P33" s="155">
        <v>1128</v>
      </c>
      <c r="Q33" s="156">
        <v>1259</v>
      </c>
      <c r="R33" s="154">
        <v>950</v>
      </c>
      <c r="S33" s="155">
        <v>1017</v>
      </c>
      <c r="T33" s="155">
        <v>1221</v>
      </c>
      <c r="U33" s="155">
        <v>1410</v>
      </c>
      <c r="V33" s="155">
        <v>1573</v>
      </c>
      <c r="W33" s="154">
        <v>1140</v>
      </c>
      <c r="X33" s="155">
        <v>1221</v>
      </c>
      <c r="Y33" s="155">
        <v>1465</v>
      </c>
      <c r="Z33" s="155">
        <v>1692</v>
      </c>
      <c r="AA33" s="156">
        <v>1888</v>
      </c>
      <c r="AB33" s="154">
        <v>1330</v>
      </c>
      <c r="AC33" s="155">
        <v>1424</v>
      </c>
      <c r="AD33" s="155">
        <v>1709</v>
      </c>
      <c r="AE33" s="155">
        <v>1974</v>
      </c>
      <c r="AF33" s="156">
        <v>2203</v>
      </c>
      <c r="AG33" s="154">
        <v>1520</v>
      </c>
      <c r="AH33" s="155">
        <v>1628</v>
      </c>
      <c r="AI33" s="155">
        <v>1954</v>
      </c>
      <c r="AJ33" s="155">
        <v>2257</v>
      </c>
      <c r="AK33" s="156">
        <v>2518</v>
      </c>
      <c r="AL33"/>
      <c r="AM33" s="154">
        <v>570</v>
      </c>
      <c r="AN33" s="155">
        <v>610</v>
      </c>
      <c r="AO33" s="155">
        <v>732</v>
      </c>
      <c r="AP33" s="155">
        <v>847</v>
      </c>
      <c r="AQ33" s="156">
        <v>1049</v>
      </c>
      <c r="AR33"/>
      <c r="AS33" s="154">
        <v>570</v>
      </c>
      <c r="AT33" s="155">
        <v>610</v>
      </c>
      <c r="AU33" s="155">
        <v>732</v>
      </c>
      <c r="AV33" s="155">
        <v>864</v>
      </c>
      <c r="AW33" s="156">
        <v>1049</v>
      </c>
      <c r="AX33" s="154">
        <v>950</v>
      </c>
      <c r="AY33" s="155">
        <v>1017</v>
      </c>
      <c r="AZ33" s="155">
        <v>1221</v>
      </c>
      <c r="BA33" s="155">
        <v>1410</v>
      </c>
      <c r="BB33" s="156">
        <v>1573</v>
      </c>
      <c r="BC33" s="154">
        <v>950</v>
      </c>
      <c r="BD33" s="155">
        <v>1017</v>
      </c>
      <c r="BE33" s="155">
        <v>1221</v>
      </c>
      <c r="BF33" s="155">
        <v>1410</v>
      </c>
      <c r="BG33" s="156">
        <v>1573</v>
      </c>
      <c r="BH33"/>
      <c r="BI33" s="154">
        <v>764</v>
      </c>
      <c r="BJ33" s="155">
        <v>848</v>
      </c>
      <c r="BK33" s="155">
        <v>955</v>
      </c>
      <c r="BL33" s="155">
        <v>1346</v>
      </c>
      <c r="BM33" s="156">
        <v>1621</v>
      </c>
      <c r="BN33"/>
      <c r="BO33" s="153" t="s">
        <v>110</v>
      </c>
      <c r="BP33" s="154">
        <v>764</v>
      </c>
      <c r="BQ33" s="155">
        <v>848</v>
      </c>
      <c r="BR33" s="155">
        <v>955</v>
      </c>
      <c r="BS33" s="155">
        <v>1346</v>
      </c>
      <c r="BT33" s="156">
        <v>1575</v>
      </c>
      <c r="BU33"/>
      <c r="BV33" s="153" t="s">
        <v>110</v>
      </c>
      <c r="BW33" s="154">
        <v>764</v>
      </c>
      <c r="BX33" s="155">
        <v>848</v>
      </c>
      <c r="BY33" s="155">
        <v>955</v>
      </c>
      <c r="BZ33" s="155">
        <v>1346</v>
      </c>
      <c r="CA33" s="156">
        <v>1621</v>
      </c>
    </row>
    <row r="34" spans="1:79" x14ac:dyDescent="0.25">
      <c r="A34" s="150" t="s">
        <v>111</v>
      </c>
      <c r="B34" s="496">
        <v>51400</v>
      </c>
      <c r="C34" s="151">
        <v>360</v>
      </c>
      <c r="D34" s="147">
        <v>385</v>
      </c>
      <c r="E34" s="147">
        <v>463</v>
      </c>
      <c r="F34" s="147">
        <v>534</v>
      </c>
      <c r="G34" s="152">
        <v>596</v>
      </c>
      <c r="H34" s="151">
        <v>540</v>
      </c>
      <c r="I34" s="147">
        <v>578</v>
      </c>
      <c r="J34" s="147">
        <v>694</v>
      </c>
      <c r="K34" s="147">
        <v>802</v>
      </c>
      <c r="L34" s="147">
        <v>894</v>
      </c>
      <c r="M34" s="151">
        <v>720</v>
      </c>
      <c r="N34" s="147">
        <v>771</v>
      </c>
      <c r="O34" s="147">
        <v>926</v>
      </c>
      <c r="P34" s="147">
        <v>1069</v>
      </c>
      <c r="Q34" s="152">
        <v>1193</v>
      </c>
      <c r="R34" s="151">
        <v>900</v>
      </c>
      <c r="S34" s="147">
        <v>964</v>
      </c>
      <c r="T34" s="147">
        <v>1157</v>
      </c>
      <c r="U34" s="147">
        <v>1336</v>
      </c>
      <c r="V34" s="147">
        <v>1491</v>
      </c>
      <c r="W34" s="151">
        <v>1080</v>
      </c>
      <c r="X34" s="147">
        <v>1157</v>
      </c>
      <c r="Y34" s="147">
        <v>1389</v>
      </c>
      <c r="Z34" s="147">
        <v>1604</v>
      </c>
      <c r="AA34" s="152">
        <v>1789</v>
      </c>
      <c r="AB34" s="151">
        <v>1260</v>
      </c>
      <c r="AC34" s="147">
        <v>1350</v>
      </c>
      <c r="AD34" s="147">
        <v>1620</v>
      </c>
      <c r="AE34" s="147">
        <v>1871</v>
      </c>
      <c r="AF34" s="152">
        <v>2087</v>
      </c>
      <c r="AG34" s="151">
        <v>1440</v>
      </c>
      <c r="AH34" s="147">
        <v>1543</v>
      </c>
      <c r="AI34" s="147">
        <v>1852</v>
      </c>
      <c r="AJ34" s="147">
        <v>2139</v>
      </c>
      <c r="AK34" s="152">
        <v>2386</v>
      </c>
      <c r="AM34" s="151">
        <v>540</v>
      </c>
      <c r="AN34" s="147">
        <v>578</v>
      </c>
      <c r="AO34" s="147">
        <v>695</v>
      </c>
      <c r="AP34" s="147">
        <v>847</v>
      </c>
      <c r="AQ34" s="152">
        <v>1049</v>
      </c>
      <c r="AS34" s="151">
        <v>540</v>
      </c>
      <c r="AT34" s="147">
        <v>578</v>
      </c>
      <c r="AU34" s="147">
        <v>694</v>
      </c>
      <c r="AV34" s="147">
        <v>847</v>
      </c>
      <c r="AW34" s="152">
        <v>1049</v>
      </c>
      <c r="AX34" s="151">
        <v>900</v>
      </c>
      <c r="AY34" s="147">
        <v>964</v>
      </c>
      <c r="AZ34" s="147">
        <v>1157</v>
      </c>
      <c r="BA34" s="147">
        <v>1336</v>
      </c>
      <c r="BB34" s="152">
        <v>1491</v>
      </c>
      <c r="BC34" s="151">
        <v>900</v>
      </c>
      <c r="BD34" s="147">
        <v>964</v>
      </c>
      <c r="BE34" s="147">
        <v>1157</v>
      </c>
      <c r="BF34" s="147">
        <v>1336</v>
      </c>
      <c r="BG34" s="152">
        <v>1491</v>
      </c>
      <c r="BI34" s="151">
        <v>734</v>
      </c>
      <c r="BJ34" s="147">
        <v>765</v>
      </c>
      <c r="BK34" s="147">
        <v>859</v>
      </c>
      <c r="BL34" s="147">
        <v>1211</v>
      </c>
      <c r="BM34" s="152">
        <v>1433</v>
      </c>
      <c r="BO34" s="150" t="s">
        <v>111</v>
      </c>
      <c r="BP34" s="151">
        <v>734</v>
      </c>
      <c r="BQ34" s="147">
        <v>765</v>
      </c>
      <c r="BR34" s="147">
        <v>859</v>
      </c>
      <c r="BS34" s="147">
        <v>1211</v>
      </c>
      <c r="BT34" s="152">
        <v>1433</v>
      </c>
      <c r="BV34" s="150" t="s">
        <v>111</v>
      </c>
      <c r="BW34" s="151">
        <v>734</v>
      </c>
      <c r="BX34" s="147">
        <v>765</v>
      </c>
      <c r="BY34" s="147">
        <v>859</v>
      </c>
      <c r="BZ34" s="147">
        <v>1211</v>
      </c>
      <c r="CA34" s="152">
        <v>1433</v>
      </c>
    </row>
    <row r="35" spans="1:79" s="157" customFormat="1" x14ac:dyDescent="0.25">
      <c r="A35" s="153" t="s">
        <v>112</v>
      </c>
      <c r="B35" s="497">
        <v>50750</v>
      </c>
      <c r="C35" s="154">
        <v>355</v>
      </c>
      <c r="D35" s="155">
        <v>380</v>
      </c>
      <c r="E35" s="155">
        <v>457</v>
      </c>
      <c r="F35" s="155">
        <v>528</v>
      </c>
      <c r="G35" s="156">
        <v>589</v>
      </c>
      <c r="H35" s="154">
        <v>533</v>
      </c>
      <c r="I35" s="155">
        <v>571</v>
      </c>
      <c r="J35" s="155">
        <v>685</v>
      </c>
      <c r="K35" s="155">
        <v>792</v>
      </c>
      <c r="L35" s="155">
        <v>883</v>
      </c>
      <c r="M35" s="154">
        <v>711</v>
      </c>
      <c r="N35" s="155">
        <v>761</v>
      </c>
      <c r="O35" s="155">
        <v>914</v>
      </c>
      <c r="P35" s="155">
        <v>1056</v>
      </c>
      <c r="Q35" s="156">
        <v>1178</v>
      </c>
      <c r="R35" s="154">
        <v>888</v>
      </c>
      <c r="S35" s="155">
        <v>951</v>
      </c>
      <c r="T35" s="155">
        <v>1142</v>
      </c>
      <c r="U35" s="155">
        <v>1320</v>
      </c>
      <c r="V35" s="155">
        <v>1472</v>
      </c>
      <c r="W35" s="154">
        <v>1066</v>
      </c>
      <c r="X35" s="155">
        <v>1142</v>
      </c>
      <c r="Y35" s="155">
        <v>1371</v>
      </c>
      <c r="Z35" s="155">
        <v>1584</v>
      </c>
      <c r="AA35" s="156">
        <v>1767</v>
      </c>
      <c r="AB35" s="154">
        <v>1244</v>
      </c>
      <c r="AC35" s="155">
        <v>1332</v>
      </c>
      <c r="AD35" s="155">
        <v>1599</v>
      </c>
      <c r="AE35" s="155">
        <v>1848</v>
      </c>
      <c r="AF35" s="156">
        <v>2061</v>
      </c>
      <c r="AG35" s="154">
        <v>1422</v>
      </c>
      <c r="AH35" s="155">
        <v>1523</v>
      </c>
      <c r="AI35" s="155">
        <v>1828</v>
      </c>
      <c r="AJ35" s="155">
        <v>2112</v>
      </c>
      <c r="AK35" s="156">
        <v>2356</v>
      </c>
      <c r="AL35"/>
      <c r="AM35" s="154">
        <v>533</v>
      </c>
      <c r="AN35" s="155">
        <v>571</v>
      </c>
      <c r="AO35" s="155">
        <v>686</v>
      </c>
      <c r="AP35" s="155">
        <v>847</v>
      </c>
      <c r="AQ35" s="156">
        <v>1049</v>
      </c>
      <c r="AR35"/>
      <c r="AS35" s="154">
        <v>533</v>
      </c>
      <c r="AT35" s="155">
        <v>571</v>
      </c>
      <c r="AU35" s="155">
        <v>685</v>
      </c>
      <c r="AV35" s="155">
        <v>847</v>
      </c>
      <c r="AW35" s="156">
        <v>1049</v>
      </c>
      <c r="AX35" s="154">
        <v>888</v>
      </c>
      <c r="AY35" s="155">
        <v>951</v>
      </c>
      <c r="AZ35" s="155">
        <v>1142</v>
      </c>
      <c r="BA35" s="155">
        <v>1320</v>
      </c>
      <c r="BB35" s="156">
        <v>1472</v>
      </c>
      <c r="BC35" s="154">
        <v>888</v>
      </c>
      <c r="BD35" s="155">
        <v>951</v>
      </c>
      <c r="BE35" s="155">
        <v>1142</v>
      </c>
      <c r="BF35" s="155">
        <v>1320</v>
      </c>
      <c r="BG35" s="156">
        <v>1472</v>
      </c>
      <c r="BH35"/>
      <c r="BI35" s="154">
        <v>745</v>
      </c>
      <c r="BJ35" s="155">
        <v>765</v>
      </c>
      <c r="BK35" s="155">
        <v>859</v>
      </c>
      <c r="BL35" s="155">
        <v>1211</v>
      </c>
      <c r="BM35" s="156">
        <v>1458</v>
      </c>
      <c r="BN35"/>
      <c r="BO35" s="153" t="s">
        <v>112</v>
      </c>
      <c r="BP35" s="154">
        <v>745</v>
      </c>
      <c r="BQ35" s="155">
        <v>765</v>
      </c>
      <c r="BR35" s="155">
        <v>859</v>
      </c>
      <c r="BS35" s="155">
        <v>1211</v>
      </c>
      <c r="BT35" s="156">
        <v>1458</v>
      </c>
      <c r="BU35"/>
      <c r="BV35" s="153" t="s">
        <v>112</v>
      </c>
      <c r="BW35" s="154">
        <v>745</v>
      </c>
      <c r="BX35" s="155">
        <v>765</v>
      </c>
      <c r="BY35" s="155">
        <v>859</v>
      </c>
      <c r="BZ35" s="155">
        <v>1211</v>
      </c>
      <c r="CA35" s="156">
        <v>1458</v>
      </c>
    </row>
    <row r="36" spans="1:79" x14ac:dyDescent="0.25">
      <c r="A36" s="150" t="s">
        <v>113</v>
      </c>
      <c r="B36" s="496">
        <v>54250</v>
      </c>
      <c r="C36" s="151">
        <v>380</v>
      </c>
      <c r="D36" s="147">
        <v>407</v>
      </c>
      <c r="E36" s="147">
        <v>488</v>
      </c>
      <c r="F36" s="147">
        <v>564</v>
      </c>
      <c r="G36" s="152">
        <v>629</v>
      </c>
      <c r="H36" s="151">
        <v>570</v>
      </c>
      <c r="I36" s="147">
        <v>610</v>
      </c>
      <c r="J36" s="147">
        <v>732</v>
      </c>
      <c r="K36" s="147">
        <v>846</v>
      </c>
      <c r="L36" s="147">
        <v>944</v>
      </c>
      <c r="M36" s="151">
        <v>760</v>
      </c>
      <c r="N36" s="147">
        <v>814</v>
      </c>
      <c r="O36" s="147">
        <v>977</v>
      </c>
      <c r="P36" s="147">
        <v>1128</v>
      </c>
      <c r="Q36" s="152">
        <v>1259</v>
      </c>
      <c r="R36" s="151">
        <v>950</v>
      </c>
      <c r="S36" s="147">
        <v>1017</v>
      </c>
      <c r="T36" s="147">
        <v>1221</v>
      </c>
      <c r="U36" s="147">
        <v>1410</v>
      </c>
      <c r="V36" s="147">
        <v>1573</v>
      </c>
      <c r="W36" s="151">
        <v>1140</v>
      </c>
      <c r="X36" s="147">
        <v>1221</v>
      </c>
      <c r="Y36" s="147">
        <v>1465</v>
      </c>
      <c r="Z36" s="147">
        <v>1692</v>
      </c>
      <c r="AA36" s="152">
        <v>1888</v>
      </c>
      <c r="AB36" s="151">
        <v>1330</v>
      </c>
      <c r="AC36" s="147">
        <v>1424</v>
      </c>
      <c r="AD36" s="147">
        <v>1709</v>
      </c>
      <c r="AE36" s="147">
        <v>1974</v>
      </c>
      <c r="AF36" s="152">
        <v>2203</v>
      </c>
      <c r="AG36" s="151">
        <v>1520</v>
      </c>
      <c r="AH36" s="147">
        <v>1628</v>
      </c>
      <c r="AI36" s="147">
        <v>1954</v>
      </c>
      <c r="AJ36" s="147">
        <v>2257</v>
      </c>
      <c r="AK36" s="152">
        <v>2518</v>
      </c>
      <c r="AM36" s="151">
        <v>570</v>
      </c>
      <c r="AN36" s="147">
        <v>610</v>
      </c>
      <c r="AO36" s="147">
        <v>732</v>
      </c>
      <c r="AP36" s="147">
        <v>847</v>
      </c>
      <c r="AQ36" s="152">
        <v>1049</v>
      </c>
      <c r="AS36" s="151">
        <v>570</v>
      </c>
      <c r="AT36" s="147">
        <v>610</v>
      </c>
      <c r="AU36" s="147">
        <v>732</v>
      </c>
      <c r="AV36" s="147">
        <v>864</v>
      </c>
      <c r="AW36" s="152">
        <v>1049</v>
      </c>
      <c r="AX36" s="151">
        <v>950</v>
      </c>
      <c r="AY36" s="147">
        <v>1017</v>
      </c>
      <c r="AZ36" s="147">
        <v>1221</v>
      </c>
      <c r="BA36" s="147">
        <v>1410</v>
      </c>
      <c r="BB36" s="152">
        <v>1573</v>
      </c>
      <c r="BC36" s="151">
        <v>950</v>
      </c>
      <c r="BD36" s="147">
        <v>1017</v>
      </c>
      <c r="BE36" s="147">
        <v>1221</v>
      </c>
      <c r="BF36" s="147">
        <v>1410</v>
      </c>
      <c r="BG36" s="152">
        <v>1573</v>
      </c>
      <c r="BI36" s="151">
        <v>764</v>
      </c>
      <c r="BJ36" s="147">
        <v>848</v>
      </c>
      <c r="BK36" s="147">
        <v>955</v>
      </c>
      <c r="BL36" s="147">
        <v>1346</v>
      </c>
      <c r="BM36" s="152">
        <v>1621</v>
      </c>
      <c r="BO36" s="150" t="s">
        <v>113</v>
      </c>
      <c r="BP36" s="151">
        <v>764</v>
      </c>
      <c r="BQ36" s="147">
        <v>848</v>
      </c>
      <c r="BR36" s="147">
        <v>955</v>
      </c>
      <c r="BS36" s="147">
        <v>1346</v>
      </c>
      <c r="BT36" s="152">
        <v>1575</v>
      </c>
      <c r="BV36" s="150" t="s">
        <v>113</v>
      </c>
      <c r="BW36" s="151">
        <v>764</v>
      </c>
      <c r="BX36" s="147">
        <v>848</v>
      </c>
      <c r="BY36" s="147">
        <v>955</v>
      </c>
      <c r="BZ36" s="147">
        <v>1346</v>
      </c>
      <c r="CA36" s="152">
        <v>1621</v>
      </c>
    </row>
    <row r="37" spans="1:79" s="157" customFormat="1" x14ac:dyDescent="0.25">
      <c r="A37" s="153" t="s">
        <v>114</v>
      </c>
      <c r="B37" s="497">
        <v>50750</v>
      </c>
      <c r="C37" s="154">
        <v>355</v>
      </c>
      <c r="D37" s="155">
        <v>380</v>
      </c>
      <c r="E37" s="155">
        <v>457</v>
      </c>
      <c r="F37" s="155">
        <v>528</v>
      </c>
      <c r="G37" s="156">
        <v>589</v>
      </c>
      <c r="H37" s="154">
        <v>533</v>
      </c>
      <c r="I37" s="155">
        <v>571</v>
      </c>
      <c r="J37" s="155">
        <v>685</v>
      </c>
      <c r="K37" s="155">
        <v>792</v>
      </c>
      <c r="L37" s="155">
        <v>883</v>
      </c>
      <c r="M37" s="154">
        <v>711</v>
      </c>
      <c r="N37" s="155">
        <v>761</v>
      </c>
      <c r="O37" s="155">
        <v>914</v>
      </c>
      <c r="P37" s="155">
        <v>1056</v>
      </c>
      <c r="Q37" s="156">
        <v>1178</v>
      </c>
      <c r="R37" s="154">
        <v>888</v>
      </c>
      <c r="S37" s="155">
        <v>951</v>
      </c>
      <c r="T37" s="155">
        <v>1142</v>
      </c>
      <c r="U37" s="155">
        <v>1320</v>
      </c>
      <c r="V37" s="155">
        <v>1472</v>
      </c>
      <c r="W37" s="154">
        <v>1066</v>
      </c>
      <c r="X37" s="155">
        <v>1142</v>
      </c>
      <c r="Y37" s="155">
        <v>1371</v>
      </c>
      <c r="Z37" s="155">
        <v>1584</v>
      </c>
      <c r="AA37" s="156">
        <v>1767</v>
      </c>
      <c r="AB37" s="154">
        <v>1244</v>
      </c>
      <c r="AC37" s="155">
        <v>1332</v>
      </c>
      <c r="AD37" s="155">
        <v>1599</v>
      </c>
      <c r="AE37" s="155">
        <v>1848</v>
      </c>
      <c r="AF37" s="156">
        <v>2061</v>
      </c>
      <c r="AG37" s="154">
        <v>1422</v>
      </c>
      <c r="AH37" s="155">
        <v>1523</v>
      </c>
      <c r="AI37" s="155">
        <v>1828</v>
      </c>
      <c r="AJ37" s="155">
        <v>2112</v>
      </c>
      <c r="AK37" s="156">
        <v>2356</v>
      </c>
      <c r="AL37"/>
      <c r="AM37" s="154">
        <v>533</v>
      </c>
      <c r="AN37" s="155">
        <v>571</v>
      </c>
      <c r="AO37" s="155">
        <v>686</v>
      </c>
      <c r="AP37" s="155">
        <v>847</v>
      </c>
      <c r="AQ37" s="156">
        <v>1049</v>
      </c>
      <c r="AR37"/>
      <c r="AS37" s="154">
        <v>533</v>
      </c>
      <c r="AT37" s="155">
        <v>571</v>
      </c>
      <c r="AU37" s="155">
        <v>685</v>
      </c>
      <c r="AV37" s="155">
        <v>847</v>
      </c>
      <c r="AW37" s="156">
        <v>1049</v>
      </c>
      <c r="AX37" s="154">
        <v>888</v>
      </c>
      <c r="AY37" s="155">
        <v>951</v>
      </c>
      <c r="AZ37" s="155">
        <v>1142</v>
      </c>
      <c r="BA37" s="155">
        <v>1320</v>
      </c>
      <c r="BB37" s="156">
        <v>1472</v>
      </c>
      <c r="BC37" s="154">
        <v>888</v>
      </c>
      <c r="BD37" s="155">
        <v>951</v>
      </c>
      <c r="BE37" s="155">
        <v>1142</v>
      </c>
      <c r="BF37" s="155">
        <v>1320</v>
      </c>
      <c r="BG37" s="156">
        <v>1472</v>
      </c>
      <c r="BH37"/>
      <c r="BI37" s="154">
        <v>745</v>
      </c>
      <c r="BJ37" s="155">
        <v>765</v>
      </c>
      <c r="BK37" s="155">
        <v>859</v>
      </c>
      <c r="BL37" s="155">
        <v>1211</v>
      </c>
      <c r="BM37" s="156">
        <v>1458</v>
      </c>
      <c r="BN37"/>
      <c r="BO37" s="153" t="s">
        <v>114</v>
      </c>
      <c r="BP37" s="154">
        <v>745</v>
      </c>
      <c r="BQ37" s="155">
        <v>765</v>
      </c>
      <c r="BR37" s="155">
        <v>859</v>
      </c>
      <c r="BS37" s="155">
        <v>1211</v>
      </c>
      <c r="BT37" s="156">
        <v>1458</v>
      </c>
      <c r="BU37"/>
      <c r="BV37" s="153" t="s">
        <v>114</v>
      </c>
      <c r="BW37" s="154">
        <v>745</v>
      </c>
      <c r="BX37" s="155">
        <v>765</v>
      </c>
      <c r="BY37" s="155">
        <v>859</v>
      </c>
      <c r="BZ37" s="155">
        <v>1211</v>
      </c>
      <c r="CA37" s="156">
        <v>1458</v>
      </c>
    </row>
    <row r="38" spans="1:79" x14ac:dyDescent="0.25">
      <c r="A38" s="150" t="s">
        <v>115</v>
      </c>
      <c r="B38" s="496">
        <v>51850</v>
      </c>
      <c r="C38" s="151">
        <v>363</v>
      </c>
      <c r="D38" s="147">
        <v>389</v>
      </c>
      <c r="E38" s="147">
        <v>467</v>
      </c>
      <c r="F38" s="147">
        <v>539</v>
      </c>
      <c r="G38" s="152">
        <v>601</v>
      </c>
      <c r="H38" s="151">
        <v>544</v>
      </c>
      <c r="I38" s="147">
        <v>583</v>
      </c>
      <c r="J38" s="147">
        <v>700</v>
      </c>
      <c r="K38" s="147">
        <v>808</v>
      </c>
      <c r="L38" s="147">
        <v>902</v>
      </c>
      <c r="M38" s="151">
        <v>726</v>
      </c>
      <c r="N38" s="147">
        <v>778</v>
      </c>
      <c r="O38" s="147">
        <v>934</v>
      </c>
      <c r="P38" s="147">
        <v>1078</v>
      </c>
      <c r="Q38" s="152">
        <v>1203</v>
      </c>
      <c r="R38" s="151">
        <v>907</v>
      </c>
      <c r="S38" s="147">
        <v>972</v>
      </c>
      <c r="T38" s="147">
        <v>1167</v>
      </c>
      <c r="U38" s="147">
        <v>1348</v>
      </c>
      <c r="V38" s="147">
        <v>1503</v>
      </c>
      <c r="W38" s="151">
        <v>1089</v>
      </c>
      <c r="X38" s="147">
        <v>1167</v>
      </c>
      <c r="Y38" s="147">
        <v>1401</v>
      </c>
      <c r="Z38" s="147">
        <v>1617</v>
      </c>
      <c r="AA38" s="152">
        <v>1804</v>
      </c>
      <c r="AB38" s="151">
        <v>1270</v>
      </c>
      <c r="AC38" s="147">
        <v>1361</v>
      </c>
      <c r="AD38" s="147">
        <v>1634</v>
      </c>
      <c r="AE38" s="147">
        <v>1887</v>
      </c>
      <c r="AF38" s="152">
        <v>2105</v>
      </c>
      <c r="AG38" s="151">
        <v>1452</v>
      </c>
      <c r="AH38" s="147">
        <v>1556</v>
      </c>
      <c r="AI38" s="147">
        <v>1868</v>
      </c>
      <c r="AJ38" s="147">
        <v>2157</v>
      </c>
      <c r="AK38" s="152">
        <v>2406</v>
      </c>
      <c r="AM38" s="151">
        <v>545</v>
      </c>
      <c r="AN38" s="147">
        <v>583</v>
      </c>
      <c r="AO38" s="147">
        <v>700</v>
      </c>
      <c r="AP38" s="147">
        <v>847</v>
      </c>
      <c r="AQ38" s="152">
        <v>1049</v>
      </c>
      <c r="AS38" s="151">
        <v>544</v>
      </c>
      <c r="AT38" s="147">
        <v>583</v>
      </c>
      <c r="AU38" s="147">
        <v>700</v>
      </c>
      <c r="AV38" s="147">
        <v>847</v>
      </c>
      <c r="AW38" s="152">
        <v>1049</v>
      </c>
      <c r="AX38" s="151">
        <v>907</v>
      </c>
      <c r="AY38" s="147">
        <v>972</v>
      </c>
      <c r="AZ38" s="147">
        <v>1167</v>
      </c>
      <c r="BA38" s="147">
        <v>1348</v>
      </c>
      <c r="BB38" s="152">
        <v>1503</v>
      </c>
      <c r="BC38" s="151">
        <v>907</v>
      </c>
      <c r="BD38" s="147">
        <v>972</v>
      </c>
      <c r="BE38" s="147">
        <v>1167</v>
      </c>
      <c r="BF38" s="147">
        <v>1348</v>
      </c>
      <c r="BG38" s="152">
        <v>1503</v>
      </c>
      <c r="BI38" s="151">
        <v>745</v>
      </c>
      <c r="BJ38" s="147">
        <v>765</v>
      </c>
      <c r="BK38" s="147">
        <v>859</v>
      </c>
      <c r="BL38" s="147">
        <v>1039</v>
      </c>
      <c r="BM38" s="152">
        <v>1196</v>
      </c>
      <c r="BO38" s="150" t="s">
        <v>115</v>
      </c>
      <c r="BP38" s="151">
        <v>745</v>
      </c>
      <c r="BQ38" s="147">
        <v>765</v>
      </c>
      <c r="BR38" s="147">
        <v>859</v>
      </c>
      <c r="BS38" s="147">
        <v>1039</v>
      </c>
      <c r="BT38" s="152">
        <v>1196</v>
      </c>
      <c r="BV38" s="150" t="s">
        <v>115</v>
      </c>
      <c r="BW38" s="151">
        <v>745</v>
      </c>
      <c r="BX38" s="147">
        <v>765</v>
      </c>
      <c r="BY38" s="147">
        <v>859</v>
      </c>
      <c r="BZ38" s="147">
        <v>1039</v>
      </c>
      <c r="CA38" s="152">
        <v>1196</v>
      </c>
    </row>
    <row r="39" spans="1:79" s="157" customFormat="1" x14ac:dyDescent="0.25">
      <c r="A39" s="153" t="s">
        <v>116</v>
      </c>
      <c r="B39" s="497">
        <v>50750</v>
      </c>
      <c r="C39" s="154">
        <v>355</v>
      </c>
      <c r="D39" s="155">
        <v>380</v>
      </c>
      <c r="E39" s="155">
        <v>457</v>
      </c>
      <c r="F39" s="155">
        <v>528</v>
      </c>
      <c r="G39" s="156">
        <v>589</v>
      </c>
      <c r="H39" s="154">
        <v>533</v>
      </c>
      <c r="I39" s="155">
        <v>571</v>
      </c>
      <c r="J39" s="155">
        <v>685</v>
      </c>
      <c r="K39" s="155">
        <v>792</v>
      </c>
      <c r="L39" s="155">
        <v>883</v>
      </c>
      <c r="M39" s="154">
        <v>711</v>
      </c>
      <c r="N39" s="155">
        <v>761</v>
      </c>
      <c r="O39" s="155">
        <v>914</v>
      </c>
      <c r="P39" s="155">
        <v>1056</v>
      </c>
      <c r="Q39" s="156">
        <v>1178</v>
      </c>
      <c r="R39" s="154">
        <v>888</v>
      </c>
      <c r="S39" s="155">
        <v>951</v>
      </c>
      <c r="T39" s="155">
        <v>1142</v>
      </c>
      <c r="U39" s="155">
        <v>1320</v>
      </c>
      <c r="V39" s="155">
        <v>1472</v>
      </c>
      <c r="W39" s="154">
        <v>1066</v>
      </c>
      <c r="X39" s="155">
        <v>1142</v>
      </c>
      <c r="Y39" s="155">
        <v>1371</v>
      </c>
      <c r="Z39" s="155">
        <v>1584</v>
      </c>
      <c r="AA39" s="156">
        <v>1767</v>
      </c>
      <c r="AB39" s="154">
        <v>1244</v>
      </c>
      <c r="AC39" s="155">
        <v>1332</v>
      </c>
      <c r="AD39" s="155">
        <v>1599</v>
      </c>
      <c r="AE39" s="155">
        <v>1848</v>
      </c>
      <c r="AF39" s="156">
        <v>2061</v>
      </c>
      <c r="AG39" s="154">
        <v>1422</v>
      </c>
      <c r="AH39" s="155">
        <v>1523</v>
      </c>
      <c r="AI39" s="155">
        <v>1828</v>
      </c>
      <c r="AJ39" s="155">
        <v>2112</v>
      </c>
      <c r="AK39" s="156">
        <v>2356</v>
      </c>
      <c r="AL39"/>
      <c r="AM39" s="154">
        <v>533</v>
      </c>
      <c r="AN39" s="155">
        <v>571</v>
      </c>
      <c r="AO39" s="155">
        <v>686</v>
      </c>
      <c r="AP39" s="155">
        <v>847</v>
      </c>
      <c r="AQ39" s="156">
        <v>1049</v>
      </c>
      <c r="AR39"/>
      <c r="AS39" s="154">
        <v>533</v>
      </c>
      <c r="AT39" s="155">
        <v>571</v>
      </c>
      <c r="AU39" s="155">
        <v>685</v>
      </c>
      <c r="AV39" s="155">
        <v>847</v>
      </c>
      <c r="AW39" s="156">
        <v>1049</v>
      </c>
      <c r="AX39" s="154">
        <v>888</v>
      </c>
      <c r="AY39" s="155">
        <v>951</v>
      </c>
      <c r="AZ39" s="155">
        <v>1142</v>
      </c>
      <c r="BA39" s="155">
        <v>1320</v>
      </c>
      <c r="BB39" s="156">
        <v>1472</v>
      </c>
      <c r="BC39" s="154">
        <v>888</v>
      </c>
      <c r="BD39" s="155">
        <v>951</v>
      </c>
      <c r="BE39" s="155">
        <v>1142</v>
      </c>
      <c r="BF39" s="155">
        <v>1320</v>
      </c>
      <c r="BG39" s="156">
        <v>1472</v>
      </c>
      <c r="BH39"/>
      <c r="BI39" s="154">
        <v>609</v>
      </c>
      <c r="BJ39" s="155">
        <v>685</v>
      </c>
      <c r="BK39" s="155">
        <v>859</v>
      </c>
      <c r="BL39" s="155">
        <v>1211</v>
      </c>
      <c r="BM39" s="156">
        <v>1338</v>
      </c>
      <c r="BN39"/>
      <c r="BO39" s="153" t="s">
        <v>116</v>
      </c>
      <c r="BP39" s="154">
        <v>609</v>
      </c>
      <c r="BQ39" s="155">
        <v>685</v>
      </c>
      <c r="BR39" s="155">
        <v>859</v>
      </c>
      <c r="BS39" s="155">
        <v>1211</v>
      </c>
      <c r="BT39" s="156">
        <v>1338</v>
      </c>
      <c r="BU39"/>
      <c r="BV39" s="153" t="s">
        <v>116</v>
      </c>
      <c r="BW39" s="154">
        <v>609</v>
      </c>
      <c r="BX39" s="155">
        <v>685</v>
      </c>
      <c r="BY39" s="155">
        <v>859</v>
      </c>
      <c r="BZ39" s="155">
        <v>1211</v>
      </c>
      <c r="CA39" s="156">
        <v>1338</v>
      </c>
    </row>
    <row r="40" spans="1:79" x14ac:dyDescent="0.25">
      <c r="A40" s="150" t="s">
        <v>117</v>
      </c>
      <c r="B40" s="496">
        <v>50750</v>
      </c>
      <c r="C40" s="151">
        <v>355</v>
      </c>
      <c r="D40" s="147">
        <v>380</v>
      </c>
      <c r="E40" s="147">
        <v>457</v>
      </c>
      <c r="F40" s="147">
        <v>528</v>
      </c>
      <c r="G40" s="152">
        <v>589</v>
      </c>
      <c r="H40" s="151">
        <v>533</v>
      </c>
      <c r="I40" s="147">
        <v>571</v>
      </c>
      <c r="J40" s="147">
        <v>685</v>
      </c>
      <c r="K40" s="147">
        <v>792</v>
      </c>
      <c r="L40" s="147">
        <v>883</v>
      </c>
      <c r="M40" s="151">
        <v>711</v>
      </c>
      <c r="N40" s="147">
        <v>761</v>
      </c>
      <c r="O40" s="147">
        <v>914</v>
      </c>
      <c r="P40" s="147">
        <v>1056</v>
      </c>
      <c r="Q40" s="152">
        <v>1178</v>
      </c>
      <c r="R40" s="151">
        <v>888</v>
      </c>
      <c r="S40" s="147">
        <v>951</v>
      </c>
      <c r="T40" s="147">
        <v>1142</v>
      </c>
      <c r="U40" s="147">
        <v>1320</v>
      </c>
      <c r="V40" s="147">
        <v>1472</v>
      </c>
      <c r="W40" s="151">
        <v>1066</v>
      </c>
      <c r="X40" s="147">
        <v>1142</v>
      </c>
      <c r="Y40" s="147">
        <v>1371</v>
      </c>
      <c r="Z40" s="147">
        <v>1584</v>
      </c>
      <c r="AA40" s="152">
        <v>1767</v>
      </c>
      <c r="AB40" s="151">
        <v>1244</v>
      </c>
      <c r="AC40" s="147">
        <v>1332</v>
      </c>
      <c r="AD40" s="147">
        <v>1599</v>
      </c>
      <c r="AE40" s="147">
        <v>1848</v>
      </c>
      <c r="AF40" s="152">
        <v>2061</v>
      </c>
      <c r="AG40" s="151">
        <v>1422</v>
      </c>
      <c r="AH40" s="147">
        <v>1523</v>
      </c>
      <c r="AI40" s="147">
        <v>1828</v>
      </c>
      <c r="AJ40" s="147">
        <v>2112</v>
      </c>
      <c r="AK40" s="152">
        <v>2356</v>
      </c>
      <c r="AM40" s="151">
        <v>533</v>
      </c>
      <c r="AN40" s="147">
        <v>571</v>
      </c>
      <c r="AO40" s="147">
        <v>686</v>
      </c>
      <c r="AP40" s="147">
        <v>847</v>
      </c>
      <c r="AQ40" s="152">
        <v>1049</v>
      </c>
      <c r="AS40" s="151">
        <v>533</v>
      </c>
      <c r="AT40" s="147">
        <v>571</v>
      </c>
      <c r="AU40" s="147">
        <v>685</v>
      </c>
      <c r="AV40" s="147">
        <v>847</v>
      </c>
      <c r="AW40" s="152">
        <v>1049</v>
      </c>
      <c r="AX40" s="151">
        <v>888</v>
      </c>
      <c r="AY40" s="147">
        <v>951</v>
      </c>
      <c r="AZ40" s="147">
        <v>1142</v>
      </c>
      <c r="BA40" s="147">
        <v>1320</v>
      </c>
      <c r="BB40" s="152">
        <v>1472</v>
      </c>
      <c r="BC40" s="151">
        <v>888</v>
      </c>
      <c r="BD40" s="147">
        <v>951</v>
      </c>
      <c r="BE40" s="147">
        <v>1142</v>
      </c>
      <c r="BF40" s="147">
        <v>1320</v>
      </c>
      <c r="BG40" s="152">
        <v>1472</v>
      </c>
      <c r="BI40" s="151">
        <v>582</v>
      </c>
      <c r="BJ40" s="147">
        <v>686</v>
      </c>
      <c r="BK40" s="147">
        <v>859</v>
      </c>
      <c r="BL40" s="147">
        <v>1180</v>
      </c>
      <c r="BM40" s="152">
        <v>1458</v>
      </c>
      <c r="BO40" s="150" t="s">
        <v>117</v>
      </c>
      <c r="BP40" s="151">
        <v>582</v>
      </c>
      <c r="BQ40" s="147">
        <v>686</v>
      </c>
      <c r="BR40" s="147">
        <v>859</v>
      </c>
      <c r="BS40" s="147">
        <v>1180</v>
      </c>
      <c r="BT40" s="152">
        <v>1458</v>
      </c>
      <c r="BV40" s="150" t="s">
        <v>117</v>
      </c>
      <c r="BW40" s="151">
        <v>582</v>
      </c>
      <c r="BX40" s="147">
        <v>686</v>
      </c>
      <c r="BY40" s="147">
        <v>859</v>
      </c>
      <c r="BZ40" s="147">
        <v>1180</v>
      </c>
      <c r="CA40" s="152">
        <v>1458</v>
      </c>
    </row>
    <row r="41" spans="1:79" s="157" customFormat="1" x14ac:dyDescent="0.25">
      <c r="A41" s="153" t="s">
        <v>118</v>
      </c>
      <c r="B41" s="497">
        <v>50750</v>
      </c>
      <c r="C41" s="154">
        <v>355</v>
      </c>
      <c r="D41" s="155">
        <v>380</v>
      </c>
      <c r="E41" s="155">
        <v>457</v>
      </c>
      <c r="F41" s="155">
        <v>528</v>
      </c>
      <c r="G41" s="156">
        <v>589</v>
      </c>
      <c r="H41" s="154">
        <v>533</v>
      </c>
      <c r="I41" s="155">
        <v>571</v>
      </c>
      <c r="J41" s="155">
        <v>685</v>
      </c>
      <c r="K41" s="155">
        <v>792</v>
      </c>
      <c r="L41" s="155">
        <v>883</v>
      </c>
      <c r="M41" s="154">
        <v>711</v>
      </c>
      <c r="N41" s="155">
        <v>761</v>
      </c>
      <c r="O41" s="155">
        <v>914</v>
      </c>
      <c r="P41" s="155">
        <v>1056</v>
      </c>
      <c r="Q41" s="156">
        <v>1178</v>
      </c>
      <c r="R41" s="154">
        <v>888</v>
      </c>
      <c r="S41" s="155">
        <v>951</v>
      </c>
      <c r="T41" s="155">
        <v>1142</v>
      </c>
      <c r="U41" s="155">
        <v>1320</v>
      </c>
      <c r="V41" s="155">
        <v>1472</v>
      </c>
      <c r="W41" s="154">
        <v>1066</v>
      </c>
      <c r="X41" s="155">
        <v>1142</v>
      </c>
      <c r="Y41" s="155">
        <v>1371</v>
      </c>
      <c r="Z41" s="155">
        <v>1584</v>
      </c>
      <c r="AA41" s="156">
        <v>1767</v>
      </c>
      <c r="AB41" s="154">
        <v>1244</v>
      </c>
      <c r="AC41" s="155">
        <v>1332</v>
      </c>
      <c r="AD41" s="155">
        <v>1599</v>
      </c>
      <c r="AE41" s="155">
        <v>1848</v>
      </c>
      <c r="AF41" s="156">
        <v>2061</v>
      </c>
      <c r="AG41" s="154">
        <v>1422</v>
      </c>
      <c r="AH41" s="155">
        <v>1523</v>
      </c>
      <c r="AI41" s="155">
        <v>1828</v>
      </c>
      <c r="AJ41" s="155">
        <v>2112</v>
      </c>
      <c r="AK41" s="156">
        <v>2356</v>
      </c>
      <c r="AL41"/>
      <c r="AM41" s="154">
        <v>533</v>
      </c>
      <c r="AN41" s="155">
        <v>571</v>
      </c>
      <c r="AO41" s="155">
        <v>686</v>
      </c>
      <c r="AP41" s="155">
        <v>847</v>
      </c>
      <c r="AQ41" s="156">
        <v>1049</v>
      </c>
      <c r="AR41"/>
      <c r="AS41" s="154">
        <v>533</v>
      </c>
      <c r="AT41" s="155">
        <v>571</v>
      </c>
      <c r="AU41" s="155">
        <v>685</v>
      </c>
      <c r="AV41" s="155">
        <v>847</v>
      </c>
      <c r="AW41" s="156">
        <v>1049</v>
      </c>
      <c r="AX41" s="154">
        <v>888</v>
      </c>
      <c r="AY41" s="155">
        <v>951</v>
      </c>
      <c r="AZ41" s="155">
        <v>1142</v>
      </c>
      <c r="BA41" s="155">
        <v>1320</v>
      </c>
      <c r="BB41" s="156">
        <v>1472</v>
      </c>
      <c r="BC41" s="154">
        <v>888</v>
      </c>
      <c r="BD41" s="155">
        <v>951</v>
      </c>
      <c r="BE41" s="155">
        <v>1142</v>
      </c>
      <c r="BF41" s="155">
        <v>1320</v>
      </c>
      <c r="BG41" s="156">
        <v>1472</v>
      </c>
      <c r="BH41"/>
      <c r="BI41" s="154">
        <v>688</v>
      </c>
      <c r="BJ41" s="155">
        <v>693</v>
      </c>
      <c r="BK41" s="155">
        <v>910</v>
      </c>
      <c r="BL41" s="155">
        <v>1100</v>
      </c>
      <c r="BM41" s="156">
        <v>1274</v>
      </c>
      <c r="BN41"/>
      <c r="BO41" s="153" t="s">
        <v>118</v>
      </c>
      <c r="BP41" s="154">
        <v>688</v>
      </c>
      <c r="BQ41" s="155">
        <v>693</v>
      </c>
      <c r="BR41" s="155">
        <v>910</v>
      </c>
      <c r="BS41" s="155">
        <v>1100</v>
      </c>
      <c r="BT41" s="156">
        <v>1274</v>
      </c>
      <c r="BU41"/>
      <c r="BV41" s="153" t="s">
        <v>118</v>
      </c>
      <c r="BW41" s="154">
        <v>688</v>
      </c>
      <c r="BX41" s="155">
        <v>693</v>
      </c>
      <c r="BY41" s="155">
        <v>910</v>
      </c>
      <c r="BZ41" s="155">
        <v>1100</v>
      </c>
      <c r="CA41" s="156">
        <v>1274</v>
      </c>
    </row>
    <row r="42" spans="1:79" x14ac:dyDescent="0.25">
      <c r="A42" s="150" t="s">
        <v>119</v>
      </c>
      <c r="B42" s="496">
        <v>52200</v>
      </c>
      <c r="C42" s="151">
        <v>365</v>
      </c>
      <c r="D42" s="147">
        <v>391</v>
      </c>
      <c r="E42" s="147">
        <v>470</v>
      </c>
      <c r="F42" s="147">
        <v>543</v>
      </c>
      <c r="G42" s="152">
        <v>605</v>
      </c>
      <c r="H42" s="151">
        <v>548</v>
      </c>
      <c r="I42" s="147">
        <v>587</v>
      </c>
      <c r="J42" s="147">
        <v>705</v>
      </c>
      <c r="K42" s="147">
        <v>814</v>
      </c>
      <c r="L42" s="147">
        <v>909</v>
      </c>
      <c r="M42" s="151">
        <v>731</v>
      </c>
      <c r="N42" s="147">
        <v>783</v>
      </c>
      <c r="O42" s="147">
        <v>940</v>
      </c>
      <c r="P42" s="147">
        <v>1086</v>
      </c>
      <c r="Q42" s="152">
        <v>1212</v>
      </c>
      <c r="R42" s="151">
        <v>913</v>
      </c>
      <c r="S42" s="147">
        <v>979</v>
      </c>
      <c r="T42" s="147">
        <v>1175</v>
      </c>
      <c r="U42" s="147">
        <v>1357</v>
      </c>
      <c r="V42" s="147">
        <v>1515</v>
      </c>
      <c r="W42" s="151">
        <v>1096</v>
      </c>
      <c r="X42" s="147">
        <v>1175</v>
      </c>
      <c r="Y42" s="147">
        <v>1410</v>
      </c>
      <c r="Z42" s="147">
        <v>1629</v>
      </c>
      <c r="AA42" s="152">
        <v>1818</v>
      </c>
      <c r="AB42" s="151">
        <v>1279</v>
      </c>
      <c r="AC42" s="147">
        <v>1371</v>
      </c>
      <c r="AD42" s="147">
        <v>1645</v>
      </c>
      <c r="AE42" s="147">
        <v>1900</v>
      </c>
      <c r="AF42" s="152">
        <v>2121</v>
      </c>
      <c r="AG42" s="151">
        <v>1462</v>
      </c>
      <c r="AH42" s="147">
        <v>1567</v>
      </c>
      <c r="AI42" s="147">
        <v>1880</v>
      </c>
      <c r="AJ42" s="147">
        <v>2172</v>
      </c>
      <c r="AK42" s="152">
        <v>2424</v>
      </c>
      <c r="AM42" s="151">
        <v>548</v>
      </c>
      <c r="AN42" s="147">
        <v>587</v>
      </c>
      <c r="AO42" s="147">
        <v>705</v>
      </c>
      <c r="AP42" s="147">
        <v>847</v>
      </c>
      <c r="AQ42" s="152">
        <v>1049</v>
      </c>
      <c r="AS42" s="151">
        <v>548</v>
      </c>
      <c r="AT42" s="147">
        <v>587</v>
      </c>
      <c r="AU42" s="147">
        <v>705</v>
      </c>
      <c r="AV42" s="147">
        <v>848</v>
      </c>
      <c r="AW42" s="152">
        <v>1049</v>
      </c>
      <c r="AX42" s="151">
        <v>913</v>
      </c>
      <c r="AY42" s="147">
        <v>979</v>
      </c>
      <c r="AZ42" s="147">
        <v>1175</v>
      </c>
      <c r="BA42" s="147">
        <v>1357</v>
      </c>
      <c r="BB42" s="152">
        <v>1515</v>
      </c>
      <c r="BC42" s="151">
        <v>913</v>
      </c>
      <c r="BD42" s="147">
        <v>979</v>
      </c>
      <c r="BE42" s="147">
        <v>1175</v>
      </c>
      <c r="BF42" s="147">
        <v>1357</v>
      </c>
      <c r="BG42" s="152">
        <v>1515</v>
      </c>
      <c r="BI42" s="151">
        <v>649</v>
      </c>
      <c r="BJ42" s="147">
        <v>654</v>
      </c>
      <c r="BK42" s="147">
        <v>859</v>
      </c>
      <c r="BL42" s="147">
        <v>1211</v>
      </c>
      <c r="BM42" s="152">
        <v>1382</v>
      </c>
      <c r="BO42" s="150" t="s">
        <v>119</v>
      </c>
      <c r="BP42" s="151">
        <v>649</v>
      </c>
      <c r="BQ42" s="147">
        <v>654</v>
      </c>
      <c r="BR42" s="147">
        <v>859</v>
      </c>
      <c r="BS42" s="147">
        <v>1211</v>
      </c>
      <c r="BT42" s="152">
        <v>1382</v>
      </c>
      <c r="BV42" s="150" t="s">
        <v>119</v>
      </c>
      <c r="BW42" s="151">
        <v>649</v>
      </c>
      <c r="BX42" s="147">
        <v>654</v>
      </c>
      <c r="BY42" s="147">
        <v>859</v>
      </c>
      <c r="BZ42" s="147">
        <v>1211</v>
      </c>
      <c r="CA42" s="152">
        <v>1382</v>
      </c>
    </row>
    <row r="43" spans="1:79" s="157" customFormat="1" x14ac:dyDescent="0.25">
      <c r="A43" s="153" t="s">
        <v>120</v>
      </c>
      <c r="B43" s="497">
        <v>50750</v>
      </c>
      <c r="C43" s="154">
        <v>355</v>
      </c>
      <c r="D43" s="155">
        <v>380</v>
      </c>
      <c r="E43" s="155">
        <v>457</v>
      </c>
      <c r="F43" s="155">
        <v>528</v>
      </c>
      <c r="G43" s="156">
        <v>589</v>
      </c>
      <c r="H43" s="154">
        <v>533</v>
      </c>
      <c r="I43" s="155">
        <v>571</v>
      </c>
      <c r="J43" s="155">
        <v>685</v>
      </c>
      <c r="K43" s="155">
        <v>792</v>
      </c>
      <c r="L43" s="155">
        <v>883</v>
      </c>
      <c r="M43" s="154">
        <v>711</v>
      </c>
      <c r="N43" s="155">
        <v>761</v>
      </c>
      <c r="O43" s="155">
        <v>914</v>
      </c>
      <c r="P43" s="155">
        <v>1056</v>
      </c>
      <c r="Q43" s="156">
        <v>1178</v>
      </c>
      <c r="R43" s="154">
        <v>888</v>
      </c>
      <c r="S43" s="155">
        <v>951</v>
      </c>
      <c r="T43" s="155">
        <v>1142</v>
      </c>
      <c r="U43" s="155">
        <v>1320</v>
      </c>
      <c r="V43" s="155">
        <v>1472</v>
      </c>
      <c r="W43" s="154">
        <v>1066</v>
      </c>
      <c r="X43" s="155">
        <v>1142</v>
      </c>
      <c r="Y43" s="155">
        <v>1371</v>
      </c>
      <c r="Z43" s="155">
        <v>1584</v>
      </c>
      <c r="AA43" s="156">
        <v>1767</v>
      </c>
      <c r="AB43" s="154">
        <v>1244</v>
      </c>
      <c r="AC43" s="155">
        <v>1332</v>
      </c>
      <c r="AD43" s="155">
        <v>1599</v>
      </c>
      <c r="AE43" s="155">
        <v>1848</v>
      </c>
      <c r="AF43" s="156">
        <v>2061</v>
      </c>
      <c r="AG43" s="154">
        <v>1422</v>
      </c>
      <c r="AH43" s="155">
        <v>1523</v>
      </c>
      <c r="AI43" s="155">
        <v>1828</v>
      </c>
      <c r="AJ43" s="155">
        <v>2112</v>
      </c>
      <c r="AK43" s="156">
        <v>2356</v>
      </c>
      <c r="AL43"/>
      <c r="AM43" s="154">
        <v>533</v>
      </c>
      <c r="AN43" s="155">
        <v>571</v>
      </c>
      <c r="AO43" s="155">
        <v>686</v>
      </c>
      <c r="AP43" s="155">
        <v>847</v>
      </c>
      <c r="AQ43" s="156">
        <v>1049</v>
      </c>
      <c r="AR43"/>
      <c r="AS43" s="154">
        <v>533</v>
      </c>
      <c r="AT43" s="155">
        <v>571</v>
      </c>
      <c r="AU43" s="155">
        <v>685</v>
      </c>
      <c r="AV43" s="155">
        <v>847</v>
      </c>
      <c r="AW43" s="156">
        <v>1049</v>
      </c>
      <c r="AX43" s="154">
        <v>888</v>
      </c>
      <c r="AY43" s="155">
        <v>951</v>
      </c>
      <c r="AZ43" s="155">
        <v>1142</v>
      </c>
      <c r="BA43" s="155">
        <v>1320</v>
      </c>
      <c r="BB43" s="156">
        <v>1472</v>
      </c>
      <c r="BC43" s="154">
        <v>888</v>
      </c>
      <c r="BD43" s="155">
        <v>951</v>
      </c>
      <c r="BE43" s="155">
        <v>1142</v>
      </c>
      <c r="BF43" s="155">
        <v>1320</v>
      </c>
      <c r="BG43" s="156">
        <v>1472</v>
      </c>
      <c r="BH43"/>
      <c r="BI43" s="154">
        <v>649</v>
      </c>
      <c r="BJ43" s="155">
        <v>654</v>
      </c>
      <c r="BK43" s="155">
        <v>859</v>
      </c>
      <c r="BL43" s="155">
        <v>1102</v>
      </c>
      <c r="BM43" s="156">
        <v>1458</v>
      </c>
      <c r="BN43"/>
      <c r="BO43" s="153" t="s">
        <v>120</v>
      </c>
      <c r="BP43" s="154">
        <v>649</v>
      </c>
      <c r="BQ43" s="155">
        <v>654</v>
      </c>
      <c r="BR43" s="155">
        <v>859</v>
      </c>
      <c r="BS43" s="155">
        <v>1102</v>
      </c>
      <c r="BT43" s="156">
        <v>1458</v>
      </c>
      <c r="BU43"/>
      <c r="BV43" s="153" t="s">
        <v>120</v>
      </c>
      <c r="BW43" s="154">
        <v>649</v>
      </c>
      <c r="BX43" s="155">
        <v>654</v>
      </c>
      <c r="BY43" s="155">
        <v>859</v>
      </c>
      <c r="BZ43" s="155">
        <v>1102</v>
      </c>
      <c r="CA43" s="156">
        <v>1458</v>
      </c>
    </row>
    <row r="44" spans="1:79" x14ac:dyDescent="0.25">
      <c r="A44" s="150" t="s">
        <v>121</v>
      </c>
      <c r="B44" s="496">
        <v>50750</v>
      </c>
      <c r="C44" s="151">
        <v>355</v>
      </c>
      <c r="D44" s="147">
        <v>380</v>
      </c>
      <c r="E44" s="147">
        <v>457</v>
      </c>
      <c r="F44" s="147">
        <v>528</v>
      </c>
      <c r="G44" s="152">
        <v>589</v>
      </c>
      <c r="H44" s="151">
        <v>533</v>
      </c>
      <c r="I44" s="147">
        <v>571</v>
      </c>
      <c r="J44" s="147">
        <v>685</v>
      </c>
      <c r="K44" s="147">
        <v>792</v>
      </c>
      <c r="L44" s="147">
        <v>883</v>
      </c>
      <c r="M44" s="151">
        <v>711</v>
      </c>
      <c r="N44" s="147">
        <v>761</v>
      </c>
      <c r="O44" s="147">
        <v>914</v>
      </c>
      <c r="P44" s="147">
        <v>1056</v>
      </c>
      <c r="Q44" s="152">
        <v>1178</v>
      </c>
      <c r="R44" s="151">
        <v>888</v>
      </c>
      <c r="S44" s="147">
        <v>951</v>
      </c>
      <c r="T44" s="147">
        <v>1142</v>
      </c>
      <c r="U44" s="147">
        <v>1320</v>
      </c>
      <c r="V44" s="147">
        <v>1472</v>
      </c>
      <c r="W44" s="151">
        <v>1066</v>
      </c>
      <c r="X44" s="147">
        <v>1142</v>
      </c>
      <c r="Y44" s="147">
        <v>1371</v>
      </c>
      <c r="Z44" s="147">
        <v>1584</v>
      </c>
      <c r="AA44" s="152">
        <v>1767</v>
      </c>
      <c r="AB44" s="151">
        <v>1244</v>
      </c>
      <c r="AC44" s="147">
        <v>1332</v>
      </c>
      <c r="AD44" s="147">
        <v>1599</v>
      </c>
      <c r="AE44" s="147">
        <v>1848</v>
      </c>
      <c r="AF44" s="152">
        <v>2061</v>
      </c>
      <c r="AG44" s="151">
        <v>1422</v>
      </c>
      <c r="AH44" s="147">
        <v>1523</v>
      </c>
      <c r="AI44" s="147">
        <v>1828</v>
      </c>
      <c r="AJ44" s="147">
        <v>2112</v>
      </c>
      <c r="AK44" s="152">
        <v>2356</v>
      </c>
      <c r="AM44" s="151">
        <v>533</v>
      </c>
      <c r="AN44" s="147">
        <v>571</v>
      </c>
      <c r="AO44" s="147">
        <v>686</v>
      </c>
      <c r="AP44" s="147">
        <v>847</v>
      </c>
      <c r="AQ44" s="152">
        <v>1049</v>
      </c>
      <c r="AS44" s="151">
        <v>533</v>
      </c>
      <c r="AT44" s="147">
        <v>571</v>
      </c>
      <c r="AU44" s="147">
        <v>685</v>
      </c>
      <c r="AV44" s="147">
        <v>847</v>
      </c>
      <c r="AW44" s="152">
        <v>1049</v>
      </c>
      <c r="AX44" s="151">
        <v>888</v>
      </c>
      <c r="AY44" s="147">
        <v>951</v>
      </c>
      <c r="AZ44" s="147">
        <v>1142</v>
      </c>
      <c r="BA44" s="147">
        <v>1320</v>
      </c>
      <c r="BB44" s="152">
        <v>1472</v>
      </c>
      <c r="BC44" s="151">
        <v>888</v>
      </c>
      <c r="BD44" s="147">
        <v>951</v>
      </c>
      <c r="BE44" s="147">
        <v>1142</v>
      </c>
      <c r="BF44" s="147">
        <v>1320</v>
      </c>
      <c r="BG44" s="152">
        <v>1472</v>
      </c>
      <c r="BI44" s="151">
        <v>653</v>
      </c>
      <c r="BJ44" s="147">
        <v>657</v>
      </c>
      <c r="BK44" s="147">
        <v>859</v>
      </c>
      <c r="BL44" s="147">
        <v>1140</v>
      </c>
      <c r="BM44" s="152">
        <v>1144</v>
      </c>
      <c r="BO44" s="150" t="s">
        <v>121</v>
      </c>
      <c r="BP44" s="151">
        <v>653</v>
      </c>
      <c r="BQ44" s="147">
        <v>657</v>
      </c>
      <c r="BR44" s="147">
        <v>859</v>
      </c>
      <c r="BS44" s="147">
        <v>1140</v>
      </c>
      <c r="BT44" s="152">
        <v>1144</v>
      </c>
      <c r="BV44" s="150" t="s">
        <v>121</v>
      </c>
      <c r="BW44" s="151">
        <v>653</v>
      </c>
      <c r="BX44" s="147">
        <v>657</v>
      </c>
      <c r="BY44" s="147">
        <v>859</v>
      </c>
      <c r="BZ44" s="147">
        <v>1140</v>
      </c>
      <c r="CA44" s="152">
        <v>1144</v>
      </c>
    </row>
    <row r="45" spans="1:79" s="157" customFormat="1" x14ac:dyDescent="0.25">
      <c r="A45" s="153" t="s">
        <v>122</v>
      </c>
      <c r="B45" s="497">
        <v>50750</v>
      </c>
      <c r="C45" s="154">
        <v>355</v>
      </c>
      <c r="D45" s="155">
        <v>380</v>
      </c>
      <c r="E45" s="155">
        <v>457</v>
      </c>
      <c r="F45" s="155">
        <v>528</v>
      </c>
      <c r="G45" s="156">
        <v>589</v>
      </c>
      <c r="H45" s="154">
        <v>533</v>
      </c>
      <c r="I45" s="155">
        <v>571</v>
      </c>
      <c r="J45" s="155">
        <v>685</v>
      </c>
      <c r="K45" s="155">
        <v>792</v>
      </c>
      <c r="L45" s="155">
        <v>883</v>
      </c>
      <c r="M45" s="154">
        <v>711</v>
      </c>
      <c r="N45" s="155">
        <v>761</v>
      </c>
      <c r="O45" s="155">
        <v>914</v>
      </c>
      <c r="P45" s="155">
        <v>1056</v>
      </c>
      <c r="Q45" s="156">
        <v>1178</v>
      </c>
      <c r="R45" s="154">
        <v>888</v>
      </c>
      <c r="S45" s="155">
        <v>951</v>
      </c>
      <c r="T45" s="155">
        <v>1142</v>
      </c>
      <c r="U45" s="155">
        <v>1320</v>
      </c>
      <c r="V45" s="155">
        <v>1472</v>
      </c>
      <c r="W45" s="154">
        <v>1066</v>
      </c>
      <c r="X45" s="155">
        <v>1142</v>
      </c>
      <c r="Y45" s="155">
        <v>1371</v>
      </c>
      <c r="Z45" s="155">
        <v>1584</v>
      </c>
      <c r="AA45" s="156">
        <v>1767</v>
      </c>
      <c r="AB45" s="154">
        <v>1244</v>
      </c>
      <c r="AC45" s="155">
        <v>1332</v>
      </c>
      <c r="AD45" s="155">
        <v>1599</v>
      </c>
      <c r="AE45" s="155">
        <v>1848</v>
      </c>
      <c r="AF45" s="156">
        <v>2061</v>
      </c>
      <c r="AG45" s="154">
        <v>1422</v>
      </c>
      <c r="AH45" s="155">
        <v>1523</v>
      </c>
      <c r="AI45" s="155">
        <v>1828</v>
      </c>
      <c r="AJ45" s="155">
        <v>2112</v>
      </c>
      <c r="AK45" s="156">
        <v>2356</v>
      </c>
      <c r="AL45"/>
      <c r="AM45" s="154">
        <v>533</v>
      </c>
      <c r="AN45" s="155">
        <v>571</v>
      </c>
      <c r="AO45" s="155">
        <v>686</v>
      </c>
      <c r="AP45" s="155">
        <v>847</v>
      </c>
      <c r="AQ45" s="156">
        <v>1049</v>
      </c>
      <c r="AR45"/>
      <c r="AS45" s="154">
        <v>533</v>
      </c>
      <c r="AT45" s="155">
        <v>571</v>
      </c>
      <c r="AU45" s="155">
        <v>685</v>
      </c>
      <c r="AV45" s="155">
        <v>847</v>
      </c>
      <c r="AW45" s="156">
        <v>1049</v>
      </c>
      <c r="AX45" s="154">
        <v>888</v>
      </c>
      <c r="AY45" s="155">
        <v>951</v>
      </c>
      <c r="AZ45" s="155">
        <v>1142</v>
      </c>
      <c r="BA45" s="155">
        <v>1320</v>
      </c>
      <c r="BB45" s="156">
        <v>1472</v>
      </c>
      <c r="BC45" s="154">
        <v>888</v>
      </c>
      <c r="BD45" s="155">
        <v>951</v>
      </c>
      <c r="BE45" s="155">
        <v>1142</v>
      </c>
      <c r="BF45" s="155">
        <v>1320</v>
      </c>
      <c r="BG45" s="156">
        <v>1472</v>
      </c>
      <c r="BH45"/>
      <c r="BI45" s="154">
        <v>720</v>
      </c>
      <c r="BJ45" s="155">
        <v>725</v>
      </c>
      <c r="BK45" s="155">
        <v>899</v>
      </c>
      <c r="BL45" s="155">
        <v>1267</v>
      </c>
      <c r="BM45" s="156">
        <v>1526</v>
      </c>
      <c r="BN45"/>
      <c r="BO45" s="153" t="s">
        <v>122</v>
      </c>
      <c r="BP45" s="154">
        <v>720</v>
      </c>
      <c r="BQ45" s="155">
        <v>725</v>
      </c>
      <c r="BR45" s="155">
        <v>899</v>
      </c>
      <c r="BS45" s="155">
        <v>1267</v>
      </c>
      <c r="BT45" s="156">
        <v>1472</v>
      </c>
      <c r="BU45"/>
      <c r="BV45" s="153" t="s">
        <v>122</v>
      </c>
      <c r="BW45" s="154">
        <v>720</v>
      </c>
      <c r="BX45" s="155">
        <v>725</v>
      </c>
      <c r="BY45" s="155">
        <v>899</v>
      </c>
      <c r="BZ45" s="155">
        <v>1267</v>
      </c>
      <c r="CA45" s="156">
        <v>1526</v>
      </c>
    </row>
    <row r="46" spans="1:79" x14ac:dyDescent="0.25">
      <c r="A46" s="150" t="s">
        <v>123</v>
      </c>
      <c r="B46" s="496">
        <v>50750</v>
      </c>
      <c r="C46" s="151">
        <v>355</v>
      </c>
      <c r="D46" s="147">
        <v>380</v>
      </c>
      <c r="E46" s="147">
        <v>457</v>
      </c>
      <c r="F46" s="147">
        <v>528</v>
      </c>
      <c r="G46" s="152">
        <v>589</v>
      </c>
      <c r="H46" s="151">
        <v>533</v>
      </c>
      <c r="I46" s="147">
        <v>571</v>
      </c>
      <c r="J46" s="147">
        <v>685</v>
      </c>
      <c r="K46" s="147">
        <v>792</v>
      </c>
      <c r="L46" s="147">
        <v>883</v>
      </c>
      <c r="M46" s="151">
        <v>711</v>
      </c>
      <c r="N46" s="147">
        <v>761</v>
      </c>
      <c r="O46" s="147">
        <v>914</v>
      </c>
      <c r="P46" s="147">
        <v>1056</v>
      </c>
      <c r="Q46" s="152">
        <v>1178</v>
      </c>
      <c r="R46" s="151">
        <v>888</v>
      </c>
      <c r="S46" s="147">
        <v>951</v>
      </c>
      <c r="T46" s="147">
        <v>1142</v>
      </c>
      <c r="U46" s="147">
        <v>1320</v>
      </c>
      <c r="V46" s="147">
        <v>1472</v>
      </c>
      <c r="W46" s="151">
        <v>1066</v>
      </c>
      <c r="X46" s="147">
        <v>1142</v>
      </c>
      <c r="Y46" s="147">
        <v>1371</v>
      </c>
      <c r="Z46" s="147">
        <v>1584</v>
      </c>
      <c r="AA46" s="152">
        <v>1767</v>
      </c>
      <c r="AB46" s="151">
        <v>1244</v>
      </c>
      <c r="AC46" s="147">
        <v>1332</v>
      </c>
      <c r="AD46" s="147">
        <v>1599</v>
      </c>
      <c r="AE46" s="147">
        <v>1848</v>
      </c>
      <c r="AF46" s="152">
        <v>2061</v>
      </c>
      <c r="AG46" s="151">
        <v>1422</v>
      </c>
      <c r="AH46" s="147">
        <v>1523</v>
      </c>
      <c r="AI46" s="147">
        <v>1828</v>
      </c>
      <c r="AJ46" s="147">
        <v>2112</v>
      </c>
      <c r="AK46" s="152">
        <v>2356</v>
      </c>
      <c r="AM46" s="151">
        <v>533</v>
      </c>
      <c r="AN46" s="147">
        <v>571</v>
      </c>
      <c r="AO46" s="147">
        <v>686</v>
      </c>
      <c r="AP46" s="147">
        <v>847</v>
      </c>
      <c r="AQ46" s="152">
        <v>1049</v>
      </c>
      <c r="AS46" s="151">
        <v>533</v>
      </c>
      <c r="AT46" s="147">
        <v>571</v>
      </c>
      <c r="AU46" s="147">
        <v>685</v>
      </c>
      <c r="AV46" s="147">
        <v>847</v>
      </c>
      <c r="AW46" s="152">
        <v>1049</v>
      </c>
      <c r="AX46" s="151">
        <v>888</v>
      </c>
      <c r="AY46" s="147">
        <v>951</v>
      </c>
      <c r="AZ46" s="147">
        <v>1142</v>
      </c>
      <c r="BA46" s="147">
        <v>1320</v>
      </c>
      <c r="BB46" s="152">
        <v>1472</v>
      </c>
      <c r="BC46" s="151">
        <v>888</v>
      </c>
      <c r="BD46" s="147">
        <v>951</v>
      </c>
      <c r="BE46" s="147">
        <v>1142</v>
      </c>
      <c r="BF46" s="147">
        <v>1320</v>
      </c>
      <c r="BG46" s="152">
        <v>1472</v>
      </c>
      <c r="BI46" s="151">
        <v>649</v>
      </c>
      <c r="BJ46" s="147">
        <v>654</v>
      </c>
      <c r="BK46" s="147">
        <v>859</v>
      </c>
      <c r="BL46" s="147">
        <v>1039</v>
      </c>
      <c r="BM46" s="152">
        <v>1169</v>
      </c>
      <c r="BO46" s="150" t="s">
        <v>123</v>
      </c>
      <c r="BP46" s="151">
        <v>649</v>
      </c>
      <c r="BQ46" s="147">
        <v>654</v>
      </c>
      <c r="BR46" s="147">
        <v>859</v>
      </c>
      <c r="BS46" s="147">
        <v>1039</v>
      </c>
      <c r="BT46" s="152">
        <v>1169</v>
      </c>
      <c r="BV46" s="150" t="s">
        <v>123</v>
      </c>
      <c r="BW46" s="151">
        <v>649</v>
      </c>
      <c r="BX46" s="147">
        <v>654</v>
      </c>
      <c r="BY46" s="147">
        <v>859</v>
      </c>
      <c r="BZ46" s="147">
        <v>1039</v>
      </c>
      <c r="CA46" s="152">
        <v>1169</v>
      </c>
    </row>
    <row r="47" spans="1:79" s="157" customFormat="1" x14ac:dyDescent="0.25">
      <c r="A47" s="153" t="s">
        <v>124</v>
      </c>
      <c r="B47" s="497">
        <v>50750</v>
      </c>
      <c r="C47" s="154">
        <v>355</v>
      </c>
      <c r="D47" s="155">
        <v>380</v>
      </c>
      <c r="E47" s="155">
        <v>457</v>
      </c>
      <c r="F47" s="155">
        <v>528</v>
      </c>
      <c r="G47" s="156">
        <v>589</v>
      </c>
      <c r="H47" s="154">
        <v>533</v>
      </c>
      <c r="I47" s="155">
        <v>571</v>
      </c>
      <c r="J47" s="155">
        <v>685</v>
      </c>
      <c r="K47" s="155">
        <v>792</v>
      </c>
      <c r="L47" s="155">
        <v>883</v>
      </c>
      <c r="M47" s="154">
        <v>711</v>
      </c>
      <c r="N47" s="155">
        <v>761</v>
      </c>
      <c r="O47" s="155">
        <v>914</v>
      </c>
      <c r="P47" s="155">
        <v>1056</v>
      </c>
      <c r="Q47" s="156">
        <v>1178</v>
      </c>
      <c r="R47" s="154">
        <v>888</v>
      </c>
      <c r="S47" s="155">
        <v>951</v>
      </c>
      <c r="T47" s="155">
        <v>1142</v>
      </c>
      <c r="U47" s="155">
        <v>1320</v>
      </c>
      <c r="V47" s="155">
        <v>1472</v>
      </c>
      <c r="W47" s="154">
        <v>1066</v>
      </c>
      <c r="X47" s="155">
        <v>1142</v>
      </c>
      <c r="Y47" s="155">
        <v>1371</v>
      </c>
      <c r="Z47" s="155">
        <v>1584</v>
      </c>
      <c r="AA47" s="156">
        <v>1767</v>
      </c>
      <c r="AB47" s="154">
        <v>1244</v>
      </c>
      <c r="AC47" s="155">
        <v>1332</v>
      </c>
      <c r="AD47" s="155">
        <v>1599</v>
      </c>
      <c r="AE47" s="155">
        <v>1848</v>
      </c>
      <c r="AF47" s="156">
        <v>2061</v>
      </c>
      <c r="AG47" s="154">
        <v>1422</v>
      </c>
      <c r="AH47" s="155">
        <v>1523</v>
      </c>
      <c r="AI47" s="155">
        <v>1828</v>
      </c>
      <c r="AJ47" s="155">
        <v>2112</v>
      </c>
      <c r="AK47" s="156">
        <v>2356</v>
      </c>
      <c r="AL47"/>
      <c r="AM47" s="154">
        <v>533</v>
      </c>
      <c r="AN47" s="155">
        <v>571</v>
      </c>
      <c r="AO47" s="155">
        <v>686</v>
      </c>
      <c r="AP47" s="155">
        <v>847</v>
      </c>
      <c r="AQ47" s="156">
        <v>1049</v>
      </c>
      <c r="AR47"/>
      <c r="AS47" s="154">
        <v>533</v>
      </c>
      <c r="AT47" s="155">
        <v>571</v>
      </c>
      <c r="AU47" s="155">
        <v>685</v>
      </c>
      <c r="AV47" s="155">
        <v>847</v>
      </c>
      <c r="AW47" s="156">
        <v>1049</v>
      </c>
      <c r="AX47" s="154">
        <v>888</v>
      </c>
      <c r="AY47" s="155">
        <v>951</v>
      </c>
      <c r="AZ47" s="155">
        <v>1142</v>
      </c>
      <c r="BA47" s="155">
        <v>1320</v>
      </c>
      <c r="BB47" s="156">
        <v>1472</v>
      </c>
      <c r="BC47" s="154">
        <v>888</v>
      </c>
      <c r="BD47" s="155">
        <v>951</v>
      </c>
      <c r="BE47" s="155">
        <v>1142</v>
      </c>
      <c r="BF47" s="155">
        <v>1320</v>
      </c>
      <c r="BG47" s="156">
        <v>1472</v>
      </c>
      <c r="BH47"/>
      <c r="BI47" s="154">
        <v>720</v>
      </c>
      <c r="BJ47" s="155">
        <v>725</v>
      </c>
      <c r="BK47" s="155">
        <v>899</v>
      </c>
      <c r="BL47" s="155">
        <v>1267</v>
      </c>
      <c r="BM47" s="156">
        <v>1526</v>
      </c>
      <c r="BN47"/>
      <c r="BO47" s="153" t="s">
        <v>124</v>
      </c>
      <c r="BP47" s="154">
        <v>720</v>
      </c>
      <c r="BQ47" s="155">
        <v>725</v>
      </c>
      <c r="BR47" s="155">
        <v>899</v>
      </c>
      <c r="BS47" s="155">
        <v>1267</v>
      </c>
      <c r="BT47" s="156">
        <v>1472</v>
      </c>
      <c r="BU47"/>
      <c r="BV47" s="153" t="s">
        <v>124</v>
      </c>
      <c r="BW47" s="154">
        <v>720</v>
      </c>
      <c r="BX47" s="155">
        <v>725</v>
      </c>
      <c r="BY47" s="155">
        <v>899</v>
      </c>
      <c r="BZ47" s="155">
        <v>1267</v>
      </c>
      <c r="CA47" s="156">
        <v>1526</v>
      </c>
    </row>
    <row r="48" spans="1:79" x14ac:dyDescent="0.25">
      <c r="A48" s="150" t="s">
        <v>125</v>
      </c>
      <c r="B48" s="496">
        <v>54150</v>
      </c>
      <c r="C48" s="151">
        <v>379</v>
      </c>
      <c r="D48" s="147">
        <v>406</v>
      </c>
      <c r="E48" s="147">
        <v>487</v>
      </c>
      <c r="F48" s="147">
        <v>563</v>
      </c>
      <c r="G48" s="152">
        <v>628</v>
      </c>
      <c r="H48" s="151">
        <v>569</v>
      </c>
      <c r="I48" s="147">
        <v>609</v>
      </c>
      <c r="J48" s="147">
        <v>731</v>
      </c>
      <c r="K48" s="147">
        <v>844</v>
      </c>
      <c r="L48" s="147">
        <v>942</v>
      </c>
      <c r="M48" s="151">
        <v>759</v>
      </c>
      <c r="N48" s="147">
        <v>813</v>
      </c>
      <c r="O48" s="147">
        <v>975</v>
      </c>
      <c r="P48" s="147">
        <v>1126</v>
      </c>
      <c r="Q48" s="152">
        <v>1257</v>
      </c>
      <c r="R48" s="151">
        <v>948</v>
      </c>
      <c r="S48" s="147">
        <v>1016</v>
      </c>
      <c r="T48" s="147">
        <v>1218</v>
      </c>
      <c r="U48" s="147">
        <v>1408</v>
      </c>
      <c r="V48" s="147">
        <v>1571</v>
      </c>
      <c r="W48" s="151">
        <v>1138</v>
      </c>
      <c r="X48" s="147">
        <v>1219</v>
      </c>
      <c r="Y48" s="147">
        <v>1462</v>
      </c>
      <c r="Z48" s="147">
        <v>1689</v>
      </c>
      <c r="AA48" s="152">
        <v>1885</v>
      </c>
      <c r="AB48" s="151">
        <v>1328</v>
      </c>
      <c r="AC48" s="147">
        <v>1422</v>
      </c>
      <c r="AD48" s="147">
        <v>1706</v>
      </c>
      <c r="AE48" s="147">
        <v>1971</v>
      </c>
      <c r="AF48" s="152">
        <v>2199</v>
      </c>
      <c r="AG48" s="151">
        <v>1518</v>
      </c>
      <c r="AH48" s="147">
        <v>1626</v>
      </c>
      <c r="AI48" s="147">
        <v>1950</v>
      </c>
      <c r="AJ48" s="147">
        <v>2253</v>
      </c>
      <c r="AK48" s="152">
        <v>2514</v>
      </c>
      <c r="AM48" s="151">
        <v>568</v>
      </c>
      <c r="AN48" s="147">
        <v>609</v>
      </c>
      <c r="AO48" s="147">
        <v>731</v>
      </c>
      <c r="AP48" s="147">
        <v>847</v>
      </c>
      <c r="AQ48" s="152">
        <v>1049</v>
      </c>
      <c r="AS48" s="151">
        <v>569</v>
      </c>
      <c r="AT48" s="147">
        <v>609</v>
      </c>
      <c r="AU48" s="147">
        <v>731</v>
      </c>
      <c r="AV48" s="147">
        <v>863</v>
      </c>
      <c r="AW48" s="152">
        <v>1049</v>
      </c>
      <c r="AX48" s="151">
        <v>948</v>
      </c>
      <c r="AY48" s="147">
        <v>1016</v>
      </c>
      <c r="AZ48" s="147">
        <v>1218</v>
      </c>
      <c r="BA48" s="147">
        <v>1408</v>
      </c>
      <c r="BB48" s="152">
        <v>1571</v>
      </c>
      <c r="BC48" s="151">
        <v>948</v>
      </c>
      <c r="BD48" s="147">
        <v>1016</v>
      </c>
      <c r="BE48" s="147">
        <v>1218</v>
      </c>
      <c r="BF48" s="147">
        <v>1408</v>
      </c>
      <c r="BG48" s="152">
        <v>1571</v>
      </c>
      <c r="BI48" s="151">
        <v>868</v>
      </c>
      <c r="BJ48" s="147">
        <v>873</v>
      </c>
      <c r="BK48" s="147">
        <v>1025</v>
      </c>
      <c r="BL48" s="147">
        <v>1444</v>
      </c>
      <c r="BM48" s="152">
        <v>1739</v>
      </c>
      <c r="BO48" s="150" t="s">
        <v>125</v>
      </c>
      <c r="BP48" s="151">
        <v>868</v>
      </c>
      <c r="BQ48" s="147">
        <v>873</v>
      </c>
      <c r="BR48" s="147">
        <v>1025</v>
      </c>
      <c r="BS48" s="147">
        <v>1425</v>
      </c>
      <c r="BT48" s="152">
        <v>1590</v>
      </c>
      <c r="BV48" s="150" t="s">
        <v>125</v>
      </c>
      <c r="BW48" s="151">
        <v>868</v>
      </c>
      <c r="BX48" s="147">
        <v>873</v>
      </c>
      <c r="BY48" s="147">
        <v>1025</v>
      </c>
      <c r="BZ48" s="147">
        <v>1444</v>
      </c>
      <c r="CA48" s="152">
        <v>1739</v>
      </c>
    </row>
    <row r="49" spans="1:79" s="157" customFormat="1" x14ac:dyDescent="0.25">
      <c r="A49" s="153" t="s">
        <v>126</v>
      </c>
      <c r="B49" s="497">
        <v>55850</v>
      </c>
      <c r="C49" s="154">
        <v>391</v>
      </c>
      <c r="D49" s="155">
        <v>419</v>
      </c>
      <c r="E49" s="155">
        <v>503</v>
      </c>
      <c r="F49" s="155">
        <v>581</v>
      </c>
      <c r="G49" s="156">
        <v>648</v>
      </c>
      <c r="H49" s="154">
        <v>586</v>
      </c>
      <c r="I49" s="155">
        <v>628</v>
      </c>
      <c r="J49" s="155">
        <v>754</v>
      </c>
      <c r="K49" s="155">
        <v>871</v>
      </c>
      <c r="L49" s="155">
        <v>972</v>
      </c>
      <c r="M49" s="154">
        <v>782</v>
      </c>
      <c r="N49" s="155">
        <v>838</v>
      </c>
      <c r="O49" s="155">
        <v>1006</v>
      </c>
      <c r="P49" s="155">
        <v>1162</v>
      </c>
      <c r="Q49" s="156">
        <v>1296</v>
      </c>
      <c r="R49" s="154">
        <v>977</v>
      </c>
      <c r="S49" s="155">
        <v>1047</v>
      </c>
      <c r="T49" s="155">
        <v>1257</v>
      </c>
      <c r="U49" s="155">
        <v>1452</v>
      </c>
      <c r="V49" s="155">
        <v>1620</v>
      </c>
      <c r="W49" s="154">
        <v>1173</v>
      </c>
      <c r="X49" s="155">
        <v>1257</v>
      </c>
      <c r="Y49" s="155">
        <v>1509</v>
      </c>
      <c r="Z49" s="155">
        <v>1743</v>
      </c>
      <c r="AA49" s="156">
        <v>1944</v>
      </c>
      <c r="AB49" s="154">
        <v>1368</v>
      </c>
      <c r="AC49" s="155">
        <v>1466</v>
      </c>
      <c r="AD49" s="155">
        <v>1760</v>
      </c>
      <c r="AE49" s="155">
        <v>2033</v>
      </c>
      <c r="AF49" s="156">
        <v>2268</v>
      </c>
      <c r="AG49" s="154">
        <v>1564</v>
      </c>
      <c r="AH49" s="155">
        <v>1676</v>
      </c>
      <c r="AI49" s="155">
        <v>2012</v>
      </c>
      <c r="AJ49" s="155">
        <v>2324</v>
      </c>
      <c r="AK49" s="156">
        <v>2592</v>
      </c>
      <c r="AL49"/>
      <c r="AM49" s="154">
        <v>586</v>
      </c>
      <c r="AN49" s="155">
        <v>628</v>
      </c>
      <c r="AO49" s="155">
        <v>753</v>
      </c>
      <c r="AP49" s="155">
        <v>871</v>
      </c>
      <c r="AQ49" s="156">
        <v>1049</v>
      </c>
      <c r="AR49"/>
      <c r="AS49" s="154">
        <v>588</v>
      </c>
      <c r="AT49" s="155">
        <v>630</v>
      </c>
      <c r="AU49" s="155">
        <v>756</v>
      </c>
      <c r="AV49" s="155">
        <v>876</v>
      </c>
      <c r="AW49" s="156">
        <v>1049</v>
      </c>
      <c r="AX49" s="154">
        <v>980</v>
      </c>
      <c r="AY49" s="155">
        <v>1050</v>
      </c>
      <c r="AZ49" s="155">
        <v>1260</v>
      </c>
      <c r="BA49" s="155">
        <v>1455</v>
      </c>
      <c r="BB49" s="156">
        <v>1623</v>
      </c>
      <c r="BC49" s="154">
        <v>980</v>
      </c>
      <c r="BD49" s="155">
        <v>1050</v>
      </c>
      <c r="BE49" s="155">
        <v>1260</v>
      </c>
      <c r="BF49" s="155">
        <v>1455</v>
      </c>
      <c r="BG49" s="156">
        <v>1623</v>
      </c>
      <c r="BH49"/>
      <c r="BI49" s="154">
        <v>688</v>
      </c>
      <c r="BJ49" s="155">
        <v>692</v>
      </c>
      <c r="BK49" s="155">
        <v>859</v>
      </c>
      <c r="BL49" s="155">
        <v>1211</v>
      </c>
      <c r="BM49" s="156">
        <v>1458</v>
      </c>
      <c r="BN49"/>
      <c r="BO49" s="153" t="s">
        <v>126</v>
      </c>
      <c r="BP49" s="154">
        <v>688</v>
      </c>
      <c r="BQ49" s="155">
        <v>692</v>
      </c>
      <c r="BR49" s="155">
        <v>859</v>
      </c>
      <c r="BS49" s="155">
        <v>1211</v>
      </c>
      <c r="BT49" s="156">
        <v>1458</v>
      </c>
      <c r="BU49"/>
      <c r="BV49" s="153" t="s">
        <v>126</v>
      </c>
      <c r="BW49" s="154">
        <v>688</v>
      </c>
      <c r="BX49" s="155">
        <v>692</v>
      </c>
      <c r="BY49" s="155">
        <v>859</v>
      </c>
      <c r="BZ49" s="155">
        <v>1211</v>
      </c>
      <c r="CA49" s="156">
        <v>1458</v>
      </c>
    </row>
    <row r="50" spans="1:79" x14ac:dyDescent="0.25">
      <c r="A50" s="150" t="s">
        <v>127</v>
      </c>
      <c r="B50" s="496">
        <v>50750</v>
      </c>
      <c r="C50" s="151">
        <v>355</v>
      </c>
      <c r="D50" s="147">
        <v>380</v>
      </c>
      <c r="E50" s="147">
        <v>457</v>
      </c>
      <c r="F50" s="147">
        <v>528</v>
      </c>
      <c r="G50" s="152">
        <v>589</v>
      </c>
      <c r="H50" s="151">
        <v>533</v>
      </c>
      <c r="I50" s="147">
        <v>571</v>
      </c>
      <c r="J50" s="147">
        <v>685</v>
      </c>
      <c r="K50" s="147">
        <v>792</v>
      </c>
      <c r="L50" s="147">
        <v>883</v>
      </c>
      <c r="M50" s="151">
        <v>711</v>
      </c>
      <c r="N50" s="147">
        <v>761</v>
      </c>
      <c r="O50" s="147">
        <v>914</v>
      </c>
      <c r="P50" s="147">
        <v>1056</v>
      </c>
      <c r="Q50" s="152">
        <v>1178</v>
      </c>
      <c r="R50" s="151">
        <v>888</v>
      </c>
      <c r="S50" s="147">
        <v>951</v>
      </c>
      <c r="T50" s="147">
        <v>1142</v>
      </c>
      <c r="U50" s="147">
        <v>1320</v>
      </c>
      <c r="V50" s="147">
        <v>1472</v>
      </c>
      <c r="W50" s="151">
        <v>1066</v>
      </c>
      <c r="X50" s="147">
        <v>1142</v>
      </c>
      <c r="Y50" s="147">
        <v>1371</v>
      </c>
      <c r="Z50" s="147">
        <v>1584</v>
      </c>
      <c r="AA50" s="152">
        <v>1767</v>
      </c>
      <c r="AB50" s="151">
        <v>1244</v>
      </c>
      <c r="AC50" s="147">
        <v>1332</v>
      </c>
      <c r="AD50" s="147">
        <v>1599</v>
      </c>
      <c r="AE50" s="147">
        <v>1848</v>
      </c>
      <c r="AF50" s="152">
        <v>2061</v>
      </c>
      <c r="AG50" s="151">
        <v>1422</v>
      </c>
      <c r="AH50" s="147">
        <v>1523</v>
      </c>
      <c r="AI50" s="147">
        <v>1828</v>
      </c>
      <c r="AJ50" s="147">
        <v>2112</v>
      </c>
      <c r="AK50" s="152">
        <v>2356</v>
      </c>
      <c r="AM50" s="151">
        <v>533</v>
      </c>
      <c r="AN50" s="147">
        <v>571</v>
      </c>
      <c r="AO50" s="147">
        <v>686</v>
      </c>
      <c r="AP50" s="147">
        <v>847</v>
      </c>
      <c r="AQ50" s="152">
        <v>1049</v>
      </c>
      <c r="AS50" s="151">
        <v>533</v>
      </c>
      <c r="AT50" s="147">
        <v>571</v>
      </c>
      <c r="AU50" s="147">
        <v>685</v>
      </c>
      <c r="AV50" s="147">
        <v>847</v>
      </c>
      <c r="AW50" s="152">
        <v>1049</v>
      </c>
      <c r="AX50" s="151">
        <v>888</v>
      </c>
      <c r="AY50" s="147">
        <v>951</v>
      </c>
      <c r="AZ50" s="147">
        <v>1142</v>
      </c>
      <c r="BA50" s="147">
        <v>1320</v>
      </c>
      <c r="BB50" s="152">
        <v>1472</v>
      </c>
      <c r="BC50" s="151">
        <v>888</v>
      </c>
      <c r="BD50" s="147">
        <v>951</v>
      </c>
      <c r="BE50" s="147">
        <v>1142</v>
      </c>
      <c r="BF50" s="147">
        <v>1320</v>
      </c>
      <c r="BG50" s="152">
        <v>1472</v>
      </c>
      <c r="BI50" s="151">
        <v>649</v>
      </c>
      <c r="BJ50" s="147">
        <v>654</v>
      </c>
      <c r="BK50" s="147">
        <v>859</v>
      </c>
      <c r="BL50" s="147">
        <v>1211</v>
      </c>
      <c r="BM50" s="152">
        <v>1458</v>
      </c>
      <c r="BO50" s="150" t="s">
        <v>127</v>
      </c>
      <c r="BP50" s="151">
        <v>649</v>
      </c>
      <c r="BQ50" s="147">
        <v>654</v>
      </c>
      <c r="BR50" s="147">
        <v>859</v>
      </c>
      <c r="BS50" s="147">
        <v>1211</v>
      </c>
      <c r="BT50" s="152">
        <v>1458</v>
      </c>
      <c r="BV50" s="150" t="s">
        <v>127</v>
      </c>
      <c r="BW50" s="151">
        <v>649</v>
      </c>
      <c r="BX50" s="147">
        <v>654</v>
      </c>
      <c r="BY50" s="147">
        <v>859</v>
      </c>
      <c r="BZ50" s="147">
        <v>1211</v>
      </c>
      <c r="CA50" s="152">
        <v>1458</v>
      </c>
    </row>
    <row r="51" spans="1:79" s="157" customFormat="1" x14ac:dyDescent="0.25">
      <c r="A51" s="153" t="s">
        <v>128</v>
      </c>
      <c r="B51" s="497">
        <v>50750</v>
      </c>
      <c r="C51" s="154">
        <v>355</v>
      </c>
      <c r="D51" s="155">
        <v>380</v>
      </c>
      <c r="E51" s="155">
        <v>457</v>
      </c>
      <c r="F51" s="155">
        <v>528</v>
      </c>
      <c r="G51" s="156">
        <v>589</v>
      </c>
      <c r="H51" s="154">
        <v>533</v>
      </c>
      <c r="I51" s="155">
        <v>571</v>
      </c>
      <c r="J51" s="155">
        <v>685</v>
      </c>
      <c r="K51" s="155">
        <v>792</v>
      </c>
      <c r="L51" s="155">
        <v>883</v>
      </c>
      <c r="M51" s="154">
        <v>711</v>
      </c>
      <c r="N51" s="155">
        <v>761</v>
      </c>
      <c r="O51" s="155">
        <v>914</v>
      </c>
      <c r="P51" s="155">
        <v>1056</v>
      </c>
      <c r="Q51" s="156">
        <v>1178</v>
      </c>
      <c r="R51" s="154">
        <v>888</v>
      </c>
      <c r="S51" s="155">
        <v>951</v>
      </c>
      <c r="T51" s="155">
        <v>1142</v>
      </c>
      <c r="U51" s="155">
        <v>1320</v>
      </c>
      <c r="V51" s="155">
        <v>1472</v>
      </c>
      <c r="W51" s="154">
        <v>1066</v>
      </c>
      <c r="X51" s="155">
        <v>1142</v>
      </c>
      <c r="Y51" s="155">
        <v>1371</v>
      </c>
      <c r="Z51" s="155">
        <v>1584</v>
      </c>
      <c r="AA51" s="156">
        <v>1767</v>
      </c>
      <c r="AB51" s="154">
        <v>1244</v>
      </c>
      <c r="AC51" s="155">
        <v>1332</v>
      </c>
      <c r="AD51" s="155">
        <v>1599</v>
      </c>
      <c r="AE51" s="155">
        <v>1848</v>
      </c>
      <c r="AF51" s="156">
        <v>2061</v>
      </c>
      <c r="AG51" s="154">
        <v>1422</v>
      </c>
      <c r="AH51" s="155">
        <v>1523</v>
      </c>
      <c r="AI51" s="155">
        <v>1828</v>
      </c>
      <c r="AJ51" s="155">
        <v>2112</v>
      </c>
      <c r="AK51" s="156">
        <v>2356</v>
      </c>
      <c r="AL51"/>
      <c r="AM51" s="154">
        <v>533</v>
      </c>
      <c r="AN51" s="155">
        <v>571</v>
      </c>
      <c r="AO51" s="155">
        <v>686</v>
      </c>
      <c r="AP51" s="155">
        <v>847</v>
      </c>
      <c r="AQ51" s="156">
        <v>1049</v>
      </c>
      <c r="AR51"/>
      <c r="AS51" s="154">
        <v>533</v>
      </c>
      <c r="AT51" s="155">
        <v>571</v>
      </c>
      <c r="AU51" s="155">
        <v>685</v>
      </c>
      <c r="AV51" s="155">
        <v>847</v>
      </c>
      <c r="AW51" s="156">
        <v>1049</v>
      </c>
      <c r="AX51" s="154">
        <v>888</v>
      </c>
      <c r="AY51" s="155">
        <v>951</v>
      </c>
      <c r="AZ51" s="155">
        <v>1142</v>
      </c>
      <c r="BA51" s="155">
        <v>1320</v>
      </c>
      <c r="BB51" s="156">
        <v>1472</v>
      </c>
      <c r="BC51" s="154">
        <v>888</v>
      </c>
      <c r="BD51" s="155">
        <v>951</v>
      </c>
      <c r="BE51" s="155">
        <v>1142</v>
      </c>
      <c r="BF51" s="155">
        <v>1320</v>
      </c>
      <c r="BG51" s="156">
        <v>1472</v>
      </c>
      <c r="BH51"/>
      <c r="BI51" s="154">
        <v>688</v>
      </c>
      <c r="BJ51" s="155">
        <v>692</v>
      </c>
      <c r="BK51" s="155">
        <v>859</v>
      </c>
      <c r="BL51" s="155">
        <v>1211</v>
      </c>
      <c r="BM51" s="156">
        <v>1458</v>
      </c>
      <c r="BN51"/>
      <c r="BO51" s="153" t="s">
        <v>128</v>
      </c>
      <c r="BP51" s="154">
        <v>688</v>
      </c>
      <c r="BQ51" s="155">
        <v>692</v>
      </c>
      <c r="BR51" s="155">
        <v>859</v>
      </c>
      <c r="BS51" s="155">
        <v>1211</v>
      </c>
      <c r="BT51" s="156">
        <v>1458</v>
      </c>
      <c r="BU51"/>
      <c r="BV51" s="153" t="s">
        <v>128</v>
      </c>
      <c r="BW51" s="154">
        <v>688</v>
      </c>
      <c r="BX51" s="155">
        <v>692</v>
      </c>
      <c r="BY51" s="155">
        <v>859</v>
      </c>
      <c r="BZ51" s="155">
        <v>1211</v>
      </c>
      <c r="CA51" s="156">
        <v>1458</v>
      </c>
    </row>
    <row r="52" spans="1:79" x14ac:dyDescent="0.25">
      <c r="A52" s="150" t="s">
        <v>129</v>
      </c>
      <c r="B52" s="496">
        <v>56250</v>
      </c>
      <c r="C52" s="151">
        <v>394</v>
      </c>
      <c r="D52" s="147">
        <v>422</v>
      </c>
      <c r="E52" s="147">
        <v>506</v>
      </c>
      <c r="F52" s="147">
        <v>585</v>
      </c>
      <c r="G52" s="152">
        <v>652</v>
      </c>
      <c r="H52" s="151">
        <v>591</v>
      </c>
      <c r="I52" s="147">
        <v>633</v>
      </c>
      <c r="J52" s="147">
        <v>759</v>
      </c>
      <c r="K52" s="147">
        <v>877</v>
      </c>
      <c r="L52" s="147">
        <v>978</v>
      </c>
      <c r="M52" s="151">
        <v>788</v>
      </c>
      <c r="N52" s="147">
        <v>844</v>
      </c>
      <c r="O52" s="147">
        <v>1013</v>
      </c>
      <c r="P52" s="147">
        <v>1170</v>
      </c>
      <c r="Q52" s="152">
        <v>1305</v>
      </c>
      <c r="R52" s="151">
        <v>985</v>
      </c>
      <c r="S52" s="147">
        <v>1055</v>
      </c>
      <c r="T52" s="147">
        <v>1266</v>
      </c>
      <c r="U52" s="147">
        <v>1462</v>
      </c>
      <c r="V52" s="147">
        <v>1631</v>
      </c>
      <c r="W52" s="151">
        <v>1182</v>
      </c>
      <c r="X52" s="147">
        <v>1266</v>
      </c>
      <c r="Y52" s="147">
        <v>1519</v>
      </c>
      <c r="Z52" s="147">
        <v>1755</v>
      </c>
      <c r="AA52" s="152">
        <v>1957</v>
      </c>
      <c r="AB52" s="151">
        <v>1379</v>
      </c>
      <c r="AC52" s="147">
        <v>1477</v>
      </c>
      <c r="AD52" s="147">
        <v>1772</v>
      </c>
      <c r="AE52" s="147">
        <v>2047</v>
      </c>
      <c r="AF52" s="152">
        <v>2283</v>
      </c>
      <c r="AG52" s="151">
        <v>1576</v>
      </c>
      <c r="AH52" s="147">
        <v>1688</v>
      </c>
      <c r="AI52" s="147">
        <v>2026</v>
      </c>
      <c r="AJ52" s="147">
        <v>2340</v>
      </c>
      <c r="AK52" s="152">
        <v>2610</v>
      </c>
      <c r="AM52" s="151">
        <v>591</v>
      </c>
      <c r="AN52" s="147">
        <v>633</v>
      </c>
      <c r="AO52" s="147">
        <v>760</v>
      </c>
      <c r="AP52" s="147">
        <v>877</v>
      </c>
      <c r="AQ52" s="152">
        <v>1049</v>
      </c>
      <c r="AS52" s="151">
        <v>607</v>
      </c>
      <c r="AT52" s="147">
        <v>651</v>
      </c>
      <c r="AU52" s="147">
        <v>781</v>
      </c>
      <c r="AV52" s="147">
        <v>902</v>
      </c>
      <c r="AW52" s="152">
        <v>1049</v>
      </c>
      <c r="AX52" s="151">
        <v>1012</v>
      </c>
      <c r="AY52" s="147">
        <v>1085</v>
      </c>
      <c r="AZ52" s="147">
        <v>1302</v>
      </c>
      <c r="BA52" s="147">
        <v>1504</v>
      </c>
      <c r="BB52" s="152">
        <v>1678</v>
      </c>
      <c r="BC52" s="151">
        <v>1012</v>
      </c>
      <c r="BD52" s="147">
        <v>1085</v>
      </c>
      <c r="BE52" s="147">
        <v>1302</v>
      </c>
      <c r="BF52" s="147">
        <v>1504</v>
      </c>
      <c r="BG52" s="152">
        <v>1678</v>
      </c>
      <c r="BI52" s="151">
        <v>691</v>
      </c>
      <c r="BJ52" s="147">
        <v>695</v>
      </c>
      <c r="BK52" s="147">
        <v>859</v>
      </c>
      <c r="BL52" s="147">
        <v>1172</v>
      </c>
      <c r="BM52" s="152">
        <v>1177</v>
      </c>
      <c r="BO52" s="150" t="s">
        <v>129</v>
      </c>
      <c r="BP52" s="151">
        <v>691</v>
      </c>
      <c r="BQ52" s="147">
        <v>695</v>
      </c>
      <c r="BR52" s="147">
        <v>859</v>
      </c>
      <c r="BS52" s="147">
        <v>1172</v>
      </c>
      <c r="BT52" s="152">
        <v>1177</v>
      </c>
      <c r="BV52" s="150" t="s">
        <v>129</v>
      </c>
      <c r="BW52" s="151">
        <v>691</v>
      </c>
      <c r="BX52" s="147">
        <v>695</v>
      </c>
      <c r="BY52" s="147">
        <v>859</v>
      </c>
      <c r="BZ52" s="147">
        <v>1172</v>
      </c>
      <c r="CA52" s="152">
        <v>1177</v>
      </c>
    </row>
    <row r="53" spans="1:79" s="157" customFormat="1" x14ac:dyDescent="0.25">
      <c r="A53" s="153" t="s">
        <v>130</v>
      </c>
      <c r="B53" s="497">
        <v>50750</v>
      </c>
      <c r="C53" s="154">
        <v>355</v>
      </c>
      <c r="D53" s="155">
        <v>380</v>
      </c>
      <c r="E53" s="155">
        <v>457</v>
      </c>
      <c r="F53" s="155">
        <v>528</v>
      </c>
      <c r="G53" s="156">
        <v>589</v>
      </c>
      <c r="H53" s="154">
        <v>533</v>
      </c>
      <c r="I53" s="155">
        <v>571</v>
      </c>
      <c r="J53" s="155">
        <v>685</v>
      </c>
      <c r="K53" s="155">
        <v>792</v>
      </c>
      <c r="L53" s="155">
        <v>883</v>
      </c>
      <c r="M53" s="154">
        <v>711</v>
      </c>
      <c r="N53" s="155">
        <v>761</v>
      </c>
      <c r="O53" s="155">
        <v>914</v>
      </c>
      <c r="P53" s="155">
        <v>1056</v>
      </c>
      <c r="Q53" s="156">
        <v>1178</v>
      </c>
      <c r="R53" s="154">
        <v>888</v>
      </c>
      <c r="S53" s="155">
        <v>951</v>
      </c>
      <c r="T53" s="155">
        <v>1142</v>
      </c>
      <c r="U53" s="155">
        <v>1320</v>
      </c>
      <c r="V53" s="155">
        <v>1472</v>
      </c>
      <c r="W53" s="154">
        <v>1066</v>
      </c>
      <c r="X53" s="155">
        <v>1142</v>
      </c>
      <c r="Y53" s="155">
        <v>1371</v>
      </c>
      <c r="Z53" s="155">
        <v>1584</v>
      </c>
      <c r="AA53" s="156">
        <v>1767</v>
      </c>
      <c r="AB53" s="154">
        <v>1244</v>
      </c>
      <c r="AC53" s="155">
        <v>1332</v>
      </c>
      <c r="AD53" s="155">
        <v>1599</v>
      </c>
      <c r="AE53" s="155">
        <v>1848</v>
      </c>
      <c r="AF53" s="156">
        <v>2061</v>
      </c>
      <c r="AG53" s="154">
        <v>1422</v>
      </c>
      <c r="AH53" s="155">
        <v>1523</v>
      </c>
      <c r="AI53" s="155">
        <v>1828</v>
      </c>
      <c r="AJ53" s="155">
        <v>2112</v>
      </c>
      <c r="AK53" s="156">
        <v>2356</v>
      </c>
      <c r="AL53"/>
      <c r="AM53" s="154">
        <v>533</v>
      </c>
      <c r="AN53" s="155">
        <v>571</v>
      </c>
      <c r="AO53" s="155">
        <v>686</v>
      </c>
      <c r="AP53" s="155">
        <v>847</v>
      </c>
      <c r="AQ53" s="156">
        <v>1049</v>
      </c>
      <c r="AR53"/>
      <c r="AS53" s="154">
        <v>533</v>
      </c>
      <c r="AT53" s="155">
        <v>571</v>
      </c>
      <c r="AU53" s="155">
        <v>685</v>
      </c>
      <c r="AV53" s="155">
        <v>847</v>
      </c>
      <c r="AW53" s="156">
        <v>1049</v>
      </c>
      <c r="AX53" s="154">
        <v>888</v>
      </c>
      <c r="AY53" s="155">
        <v>951</v>
      </c>
      <c r="AZ53" s="155">
        <v>1142</v>
      </c>
      <c r="BA53" s="155">
        <v>1320</v>
      </c>
      <c r="BB53" s="156">
        <v>1472</v>
      </c>
      <c r="BC53" s="154">
        <v>888</v>
      </c>
      <c r="BD53" s="155">
        <v>951</v>
      </c>
      <c r="BE53" s="155">
        <v>1142</v>
      </c>
      <c r="BF53" s="155">
        <v>1320</v>
      </c>
      <c r="BG53" s="156">
        <v>1472</v>
      </c>
      <c r="BH53"/>
      <c r="BI53" s="154">
        <v>702</v>
      </c>
      <c r="BJ53" s="155">
        <v>707</v>
      </c>
      <c r="BK53" s="155">
        <v>859</v>
      </c>
      <c r="BL53" s="155">
        <v>1147</v>
      </c>
      <c r="BM53" s="156">
        <v>1458</v>
      </c>
      <c r="BN53"/>
      <c r="BO53" s="153" t="s">
        <v>130</v>
      </c>
      <c r="BP53" s="154">
        <v>702</v>
      </c>
      <c r="BQ53" s="155">
        <v>707</v>
      </c>
      <c r="BR53" s="155">
        <v>859</v>
      </c>
      <c r="BS53" s="155">
        <v>1147</v>
      </c>
      <c r="BT53" s="156">
        <v>1458</v>
      </c>
      <c r="BU53"/>
      <c r="BV53" s="153" t="s">
        <v>130</v>
      </c>
      <c r="BW53" s="154">
        <v>702</v>
      </c>
      <c r="BX53" s="155">
        <v>707</v>
      </c>
      <c r="BY53" s="155">
        <v>859</v>
      </c>
      <c r="BZ53" s="155">
        <v>1147</v>
      </c>
      <c r="CA53" s="156">
        <v>1458</v>
      </c>
    </row>
    <row r="54" spans="1:79" x14ac:dyDescent="0.25">
      <c r="A54" s="150" t="s">
        <v>131</v>
      </c>
      <c r="B54" s="496">
        <v>52600</v>
      </c>
      <c r="C54" s="151">
        <v>368</v>
      </c>
      <c r="D54" s="147">
        <v>394</v>
      </c>
      <c r="E54" s="147">
        <v>473</v>
      </c>
      <c r="F54" s="147">
        <v>547</v>
      </c>
      <c r="G54" s="152">
        <v>610</v>
      </c>
      <c r="H54" s="151">
        <v>552</v>
      </c>
      <c r="I54" s="147">
        <v>592</v>
      </c>
      <c r="J54" s="147">
        <v>710</v>
      </c>
      <c r="K54" s="147">
        <v>820</v>
      </c>
      <c r="L54" s="147">
        <v>915</v>
      </c>
      <c r="M54" s="151">
        <v>737</v>
      </c>
      <c r="N54" s="147">
        <v>789</v>
      </c>
      <c r="O54" s="147">
        <v>947</v>
      </c>
      <c r="P54" s="147">
        <v>1094</v>
      </c>
      <c r="Q54" s="152">
        <v>1221</v>
      </c>
      <c r="R54" s="151">
        <v>921</v>
      </c>
      <c r="S54" s="147">
        <v>986</v>
      </c>
      <c r="T54" s="147">
        <v>1183</v>
      </c>
      <c r="U54" s="147">
        <v>1368</v>
      </c>
      <c r="V54" s="147">
        <v>1526</v>
      </c>
      <c r="W54" s="151">
        <v>1105</v>
      </c>
      <c r="X54" s="147">
        <v>1184</v>
      </c>
      <c r="Y54" s="147">
        <v>1420</v>
      </c>
      <c r="Z54" s="147">
        <v>1641</v>
      </c>
      <c r="AA54" s="152">
        <v>1831</v>
      </c>
      <c r="AB54" s="151">
        <v>1289</v>
      </c>
      <c r="AC54" s="147">
        <v>1381</v>
      </c>
      <c r="AD54" s="147">
        <v>1657</v>
      </c>
      <c r="AE54" s="147">
        <v>1915</v>
      </c>
      <c r="AF54" s="152">
        <v>2136</v>
      </c>
      <c r="AG54" s="151">
        <v>1474</v>
      </c>
      <c r="AH54" s="147">
        <v>1579</v>
      </c>
      <c r="AI54" s="147">
        <v>1894</v>
      </c>
      <c r="AJ54" s="147">
        <v>2189</v>
      </c>
      <c r="AK54" s="152">
        <v>2442</v>
      </c>
      <c r="AM54" s="151">
        <v>552</v>
      </c>
      <c r="AN54" s="147">
        <v>591</v>
      </c>
      <c r="AO54" s="147">
        <v>710</v>
      </c>
      <c r="AP54" s="147">
        <v>847</v>
      </c>
      <c r="AQ54" s="152">
        <v>1049</v>
      </c>
      <c r="AS54" s="151">
        <v>579</v>
      </c>
      <c r="AT54" s="147">
        <v>621</v>
      </c>
      <c r="AU54" s="147">
        <v>744</v>
      </c>
      <c r="AV54" s="147">
        <v>870</v>
      </c>
      <c r="AW54" s="152">
        <v>1049</v>
      </c>
      <c r="AX54" s="151">
        <v>966</v>
      </c>
      <c r="AY54" s="147">
        <v>1035</v>
      </c>
      <c r="AZ54" s="147">
        <v>1241</v>
      </c>
      <c r="BA54" s="147">
        <v>1434</v>
      </c>
      <c r="BB54" s="152">
        <v>1600</v>
      </c>
      <c r="BC54" s="151">
        <v>966</v>
      </c>
      <c r="BD54" s="147">
        <v>1035</v>
      </c>
      <c r="BE54" s="147">
        <v>1241</v>
      </c>
      <c r="BF54" s="147">
        <v>1434</v>
      </c>
      <c r="BG54" s="152">
        <v>1600</v>
      </c>
      <c r="BI54" s="151">
        <v>681</v>
      </c>
      <c r="BJ54" s="147">
        <v>744</v>
      </c>
      <c r="BK54" s="147">
        <v>978</v>
      </c>
      <c r="BL54" s="147">
        <v>1378</v>
      </c>
      <c r="BM54" s="152">
        <v>1660</v>
      </c>
      <c r="BO54" s="150" t="s">
        <v>131</v>
      </c>
      <c r="BP54" s="151">
        <v>681</v>
      </c>
      <c r="BQ54" s="147">
        <v>744</v>
      </c>
      <c r="BR54" s="147">
        <v>978</v>
      </c>
      <c r="BS54" s="147">
        <v>1368</v>
      </c>
      <c r="BT54" s="152">
        <v>1526</v>
      </c>
      <c r="BV54" s="150" t="s">
        <v>131</v>
      </c>
      <c r="BW54" s="151">
        <v>681</v>
      </c>
      <c r="BX54" s="147">
        <v>744</v>
      </c>
      <c r="BY54" s="147">
        <v>978</v>
      </c>
      <c r="BZ54" s="147">
        <v>1378</v>
      </c>
      <c r="CA54" s="152">
        <v>1660</v>
      </c>
    </row>
    <row r="55" spans="1:79" s="157" customFormat="1" x14ac:dyDescent="0.25">
      <c r="A55" s="153" t="s">
        <v>132</v>
      </c>
      <c r="B55" s="497">
        <v>50750</v>
      </c>
      <c r="C55" s="154">
        <v>355</v>
      </c>
      <c r="D55" s="155">
        <v>380</v>
      </c>
      <c r="E55" s="155">
        <v>457</v>
      </c>
      <c r="F55" s="155">
        <v>528</v>
      </c>
      <c r="G55" s="156">
        <v>589</v>
      </c>
      <c r="H55" s="154">
        <v>533</v>
      </c>
      <c r="I55" s="155">
        <v>571</v>
      </c>
      <c r="J55" s="155">
        <v>685</v>
      </c>
      <c r="K55" s="155">
        <v>792</v>
      </c>
      <c r="L55" s="155">
        <v>883</v>
      </c>
      <c r="M55" s="154">
        <v>711</v>
      </c>
      <c r="N55" s="155">
        <v>761</v>
      </c>
      <c r="O55" s="155">
        <v>914</v>
      </c>
      <c r="P55" s="155">
        <v>1056</v>
      </c>
      <c r="Q55" s="156">
        <v>1178</v>
      </c>
      <c r="R55" s="154">
        <v>888</v>
      </c>
      <c r="S55" s="155">
        <v>951</v>
      </c>
      <c r="T55" s="155">
        <v>1142</v>
      </c>
      <c r="U55" s="155">
        <v>1320</v>
      </c>
      <c r="V55" s="155">
        <v>1472</v>
      </c>
      <c r="W55" s="154">
        <v>1066</v>
      </c>
      <c r="X55" s="155">
        <v>1142</v>
      </c>
      <c r="Y55" s="155">
        <v>1371</v>
      </c>
      <c r="Z55" s="155">
        <v>1584</v>
      </c>
      <c r="AA55" s="156">
        <v>1767</v>
      </c>
      <c r="AB55" s="154">
        <v>1244</v>
      </c>
      <c r="AC55" s="155">
        <v>1332</v>
      </c>
      <c r="AD55" s="155">
        <v>1599</v>
      </c>
      <c r="AE55" s="155">
        <v>1848</v>
      </c>
      <c r="AF55" s="156">
        <v>2061</v>
      </c>
      <c r="AG55" s="154">
        <v>1422</v>
      </c>
      <c r="AH55" s="155">
        <v>1523</v>
      </c>
      <c r="AI55" s="155">
        <v>1828</v>
      </c>
      <c r="AJ55" s="155">
        <v>2112</v>
      </c>
      <c r="AK55" s="156">
        <v>2356</v>
      </c>
      <c r="AL55"/>
      <c r="AM55" s="154">
        <v>533</v>
      </c>
      <c r="AN55" s="155">
        <v>571</v>
      </c>
      <c r="AO55" s="155">
        <v>686</v>
      </c>
      <c r="AP55" s="155">
        <v>847</v>
      </c>
      <c r="AQ55" s="156">
        <v>1049</v>
      </c>
      <c r="AR55"/>
      <c r="AS55" s="154">
        <v>533</v>
      </c>
      <c r="AT55" s="155">
        <v>571</v>
      </c>
      <c r="AU55" s="155">
        <v>685</v>
      </c>
      <c r="AV55" s="155">
        <v>847</v>
      </c>
      <c r="AW55" s="156">
        <v>1049</v>
      </c>
      <c r="AX55" s="154">
        <v>888</v>
      </c>
      <c r="AY55" s="155">
        <v>951</v>
      </c>
      <c r="AZ55" s="155">
        <v>1142</v>
      </c>
      <c r="BA55" s="155">
        <v>1320</v>
      </c>
      <c r="BB55" s="156">
        <v>1472</v>
      </c>
      <c r="BC55" s="154">
        <v>888</v>
      </c>
      <c r="BD55" s="155">
        <v>951</v>
      </c>
      <c r="BE55" s="155">
        <v>1142</v>
      </c>
      <c r="BF55" s="155">
        <v>1320</v>
      </c>
      <c r="BG55" s="156">
        <v>1472</v>
      </c>
      <c r="BH55"/>
      <c r="BI55" s="154">
        <v>689</v>
      </c>
      <c r="BJ55" s="155">
        <v>694</v>
      </c>
      <c r="BK55" s="155">
        <v>859</v>
      </c>
      <c r="BL55" s="155">
        <v>1211</v>
      </c>
      <c r="BM55" s="156">
        <v>1458</v>
      </c>
      <c r="BN55"/>
      <c r="BO55" s="153" t="s">
        <v>132</v>
      </c>
      <c r="BP55" s="154">
        <v>689</v>
      </c>
      <c r="BQ55" s="155">
        <v>694</v>
      </c>
      <c r="BR55" s="155">
        <v>859</v>
      </c>
      <c r="BS55" s="155">
        <v>1211</v>
      </c>
      <c r="BT55" s="156">
        <v>1458</v>
      </c>
      <c r="BU55"/>
      <c r="BV55" s="153" t="s">
        <v>132</v>
      </c>
      <c r="BW55" s="154">
        <v>689</v>
      </c>
      <c r="BX55" s="155">
        <v>694</v>
      </c>
      <c r="BY55" s="155">
        <v>859</v>
      </c>
      <c r="BZ55" s="155">
        <v>1211</v>
      </c>
      <c r="CA55" s="156">
        <v>1458</v>
      </c>
    </row>
    <row r="56" spans="1:79" ht="15.75" thickBot="1" x14ac:dyDescent="0.3">
      <c r="A56" s="158" t="s">
        <v>133</v>
      </c>
      <c r="B56" s="498">
        <v>55700</v>
      </c>
      <c r="C56" s="159">
        <v>390</v>
      </c>
      <c r="D56" s="160">
        <v>418</v>
      </c>
      <c r="E56" s="160">
        <v>501</v>
      </c>
      <c r="F56" s="160">
        <v>579</v>
      </c>
      <c r="G56" s="161">
        <v>646</v>
      </c>
      <c r="H56" s="159">
        <v>585</v>
      </c>
      <c r="I56" s="160">
        <v>627</v>
      </c>
      <c r="J56" s="160">
        <v>752</v>
      </c>
      <c r="K56" s="160">
        <v>869</v>
      </c>
      <c r="L56" s="160">
        <v>969</v>
      </c>
      <c r="M56" s="159">
        <v>780</v>
      </c>
      <c r="N56" s="160">
        <v>836</v>
      </c>
      <c r="O56" s="160">
        <v>1003</v>
      </c>
      <c r="P56" s="160">
        <v>1159</v>
      </c>
      <c r="Q56" s="161">
        <v>1293</v>
      </c>
      <c r="R56" s="159">
        <v>975</v>
      </c>
      <c r="S56" s="160">
        <v>1045</v>
      </c>
      <c r="T56" s="160">
        <v>1253</v>
      </c>
      <c r="U56" s="160">
        <v>1448</v>
      </c>
      <c r="V56" s="160">
        <v>1616</v>
      </c>
      <c r="W56" s="159">
        <v>1170</v>
      </c>
      <c r="X56" s="160">
        <v>1254</v>
      </c>
      <c r="Y56" s="160">
        <v>1504</v>
      </c>
      <c r="Z56" s="160">
        <v>1738</v>
      </c>
      <c r="AA56" s="161">
        <v>1939</v>
      </c>
      <c r="AB56" s="159">
        <v>1365</v>
      </c>
      <c r="AC56" s="160">
        <v>1463</v>
      </c>
      <c r="AD56" s="160">
        <v>1755</v>
      </c>
      <c r="AE56" s="160">
        <v>2028</v>
      </c>
      <c r="AF56" s="161">
        <v>2262</v>
      </c>
      <c r="AG56" s="159">
        <v>1560</v>
      </c>
      <c r="AH56" s="160">
        <v>1672</v>
      </c>
      <c r="AI56" s="160">
        <v>2006</v>
      </c>
      <c r="AJ56" s="160">
        <v>2318</v>
      </c>
      <c r="AK56" s="161">
        <v>2586</v>
      </c>
      <c r="AM56" s="159">
        <v>585</v>
      </c>
      <c r="AN56" s="160">
        <v>626</v>
      </c>
      <c r="AO56" s="160">
        <v>752</v>
      </c>
      <c r="AP56" s="160">
        <v>868</v>
      </c>
      <c r="AQ56" s="161">
        <v>1049</v>
      </c>
      <c r="AS56" s="159">
        <v>585</v>
      </c>
      <c r="AT56" s="160">
        <v>627</v>
      </c>
      <c r="AU56" s="160">
        <v>752</v>
      </c>
      <c r="AV56" s="160">
        <v>875</v>
      </c>
      <c r="AW56" s="161">
        <v>1049</v>
      </c>
      <c r="AX56" s="159">
        <v>975</v>
      </c>
      <c r="AY56" s="160">
        <v>1045</v>
      </c>
      <c r="AZ56" s="160">
        <v>1253</v>
      </c>
      <c r="BA56" s="160">
        <v>1448</v>
      </c>
      <c r="BB56" s="161">
        <v>1616</v>
      </c>
      <c r="BC56" s="159">
        <v>975</v>
      </c>
      <c r="BD56" s="160">
        <v>1045</v>
      </c>
      <c r="BE56" s="160">
        <v>1253</v>
      </c>
      <c r="BF56" s="160">
        <v>1448</v>
      </c>
      <c r="BG56" s="161">
        <v>1616</v>
      </c>
      <c r="BI56" s="159">
        <v>985</v>
      </c>
      <c r="BJ56" s="160">
        <v>1003</v>
      </c>
      <c r="BK56" s="160">
        <v>1136</v>
      </c>
      <c r="BL56" s="160">
        <v>1601</v>
      </c>
      <c r="BM56" s="161">
        <v>1928</v>
      </c>
      <c r="BO56" s="158" t="s">
        <v>133</v>
      </c>
      <c r="BP56" s="159">
        <v>980</v>
      </c>
      <c r="BQ56" s="160">
        <v>1003</v>
      </c>
      <c r="BR56" s="160">
        <v>1136</v>
      </c>
      <c r="BS56" s="160">
        <v>1455</v>
      </c>
      <c r="BT56" s="161">
        <v>1623</v>
      </c>
      <c r="BV56" s="158" t="s">
        <v>133</v>
      </c>
      <c r="BW56" s="159">
        <v>985</v>
      </c>
      <c r="BX56" s="160">
        <v>1003</v>
      </c>
      <c r="BY56" s="160">
        <v>1136</v>
      </c>
      <c r="BZ56" s="160">
        <v>1601</v>
      </c>
      <c r="CA56" s="161">
        <v>1928</v>
      </c>
    </row>
    <row r="57" spans="1:79" ht="15.75" thickBot="1" x14ac:dyDescent="0.3"/>
    <row r="58" spans="1:79" ht="16.5" thickBot="1" x14ac:dyDescent="0.3">
      <c r="A58" s="1214" t="s">
        <v>936</v>
      </c>
      <c r="B58" s="1215"/>
      <c r="C58" s="499">
        <v>15060</v>
      </c>
      <c r="D58" s="500">
        <v>20440</v>
      </c>
      <c r="E58" s="500">
        <v>25820</v>
      </c>
      <c r="F58" s="500">
        <v>31200</v>
      </c>
      <c r="G58" s="500">
        <v>36580</v>
      </c>
      <c r="H58" s="500">
        <v>41960</v>
      </c>
      <c r="I58" s="500">
        <v>47340</v>
      </c>
      <c r="J58" s="501">
        <v>52720</v>
      </c>
    </row>
    <row r="59" spans="1:79" ht="15.75" thickBot="1" x14ac:dyDescent="0.3"/>
    <row r="60" spans="1:79" ht="16.5" thickBot="1" x14ac:dyDescent="0.3">
      <c r="A60" s="1214" t="s">
        <v>958</v>
      </c>
      <c r="B60" s="1215"/>
      <c r="C60" s="526">
        <v>97800</v>
      </c>
    </row>
    <row r="61" spans="1:79" ht="16.5" thickBot="1" x14ac:dyDescent="0.3">
      <c r="D61" s="527"/>
      <c r="E61" s="527"/>
    </row>
    <row r="62" spans="1:79" ht="15" customHeight="1" x14ac:dyDescent="0.25">
      <c r="B62" s="1210" t="s">
        <v>1058</v>
      </c>
      <c r="C62" s="1211"/>
      <c r="D62" s="626"/>
      <c r="E62" s="626"/>
    </row>
    <row r="63" spans="1:79" ht="15.75" thickBot="1" x14ac:dyDescent="0.3">
      <c r="B63" s="1212"/>
      <c r="C63" s="1213"/>
      <c r="D63" s="626"/>
      <c r="E63" s="626"/>
    </row>
    <row r="64" spans="1:79" ht="15.75" x14ac:dyDescent="0.25">
      <c r="A64" s="459" t="s">
        <v>972</v>
      </c>
      <c r="B64" s="549" t="s">
        <v>976</v>
      </c>
      <c r="C64" s="595" t="s">
        <v>629</v>
      </c>
      <c r="D64" s="627"/>
      <c r="E64" s="627"/>
    </row>
    <row r="65" spans="1:5" x14ac:dyDescent="0.25">
      <c r="A65" s="542" t="s">
        <v>57</v>
      </c>
      <c r="B65" s="540">
        <f>$C78*$B$72</f>
        <v>181488</v>
      </c>
      <c r="C65" s="543">
        <f>$C78*$B$73</f>
        <v>204174</v>
      </c>
      <c r="D65" s="628"/>
      <c r="E65" s="628"/>
    </row>
    <row r="66" spans="1:5" x14ac:dyDescent="0.25">
      <c r="A66" s="544">
        <v>1</v>
      </c>
      <c r="B66" s="541">
        <f>$C79*$B$72</f>
        <v>208048.8</v>
      </c>
      <c r="C66" s="545">
        <f>$C79*$B$73</f>
        <v>234054.90000000002</v>
      </c>
      <c r="D66" s="628"/>
      <c r="E66" s="628"/>
    </row>
    <row r="67" spans="1:5" x14ac:dyDescent="0.25">
      <c r="A67" s="542">
        <v>2</v>
      </c>
      <c r="B67" s="540">
        <f>$C80*$B$72</f>
        <v>252993.59999999998</v>
      </c>
      <c r="C67" s="543">
        <f>$C80*$B$73</f>
        <v>284617.80000000005</v>
      </c>
      <c r="D67" s="628"/>
      <c r="E67" s="628"/>
    </row>
    <row r="68" spans="1:5" x14ac:dyDescent="0.25">
      <c r="A68" s="544">
        <v>3</v>
      </c>
      <c r="B68" s="541">
        <f>$C81*$B$72</f>
        <v>327292.79999999999</v>
      </c>
      <c r="C68" s="545">
        <f>$C81*$B$73</f>
        <v>368204.4</v>
      </c>
      <c r="D68" s="628"/>
      <c r="E68" s="628"/>
    </row>
    <row r="69" spans="1:5" ht="15.75" thickBot="1" x14ac:dyDescent="0.3">
      <c r="A69" s="546">
        <v>4</v>
      </c>
      <c r="B69" s="547">
        <f>$C82*$B$72</f>
        <v>359263.2</v>
      </c>
      <c r="C69" s="548">
        <f>$C82*$B$73</f>
        <v>404171.10000000003</v>
      </c>
      <c r="D69" s="628"/>
      <c r="E69" s="628"/>
    </row>
    <row r="71" spans="1:5" ht="15.75" thickBot="1" x14ac:dyDescent="0.3">
      <c r="A71" s="1218" t="s">
        <v>977</v>
      </c>
      <c r="B71" s="1218"/>
      <c r="C71" s="1218"/>
      <c r="D71" s="1218"/>
    </row>
    <row r="72" spans="1:5" x14ac:dyDescent="0.25">
      <c r="A72" s="550" t="s">
        <v>976</v>
      </c>
      <c r="B72" s="551">
        <v>2.4</v>
      </c>
    </row>
    <row r="73" spans="1:5" ht="15.75" thickBot="1" x14ac:dyDescent="0.3">
      <c r="A73" s="552" t="s">
        <v>629</v>
      </c>
      <c r="B73" s="553">
        <v>2.7</v>
      </c>
    </row>
    <row r="75" spans="1:5" x14ac:dyDescent="0.25">
      <c r="A75" s="147" t="s">
        <v>380</v>
      </c>
      <c r="B75" s="148">
        <v>45335</v>
      </c>
    </row>
    <row r="76" spans="1:5" ht="15.75" thickBot="1" x14ac:dyDescent="0.3">
      <c r="A76" s="1190" t="s">
        <v>975</v>
      </c>
      <c r="B76" s="1190"/>
      <c r="C76" s="1190"/>
      <c r="D76" s="237"/>
    </row>
    <row r="77" spans="1:5" ht="15.75" x14ac:dyDescent="0.25">
      <c r="A77" s="459" t="s">
        <v>972</v>
      </c>
      <c r="B77" s="460" t="s">
        <v>973</v>
      </c>
      <c r="C77" s="461" t="s">
        <v>974</v>
      </c>
    </row>
    <row r="78" spans="1:5" x14ac:dyDescent="0.25">
      <c r="A78" s="542" t="s">
        <v>57</v>
      </c>
      <c r="B78" s="540">
        <v>71856</v>
      </c>
      <c r="C78" s="543">
        <v>75620</v>
      </c>
    </row>
    <row r="79" spans="1:5" x14ac:dyDescent="0.25">
      <c r="A79" s="544">
        <v>1</v>
      </c>
      <c r="B79" s="541">
        <v>82853</v>
      </c>
      <c r="C79" s="545">
        <v>86687</v>
      </c>
    </row>
    <row r="80" spans="1:5" x14ac:dyDescent="0.25">
      <c r="A80" s="542">
        <v>2</v>
      </c>
      <c r="B80" s="540">
        <v>99923</v>
      </c>
      <c r="C80" s="543">
        <v>105414</v>
      </c>
    </row>
    <row r="81" spans="1:3" x14ac:dyDescent="0.25">
      <c r="A81" s="544">
        <v>3</v>
      </c>
      <c r="B81" s="541">
        <v>127906</v>
      </c>
      <c r="C81" s="545">
        <v>136372</v>
      </c>
    </row>
    <row r="82" spans="1:3" ht="15.75" thickBot="1" x14ac:dyDescent="0.3">
      <c r="A82" s="546">
        <v>4</v>
      </c>
      <c r="B82" s="547">
        <v>142493</v>
      </c>
      <c r="C82" s="548">
        <v>149693</v>
      </c>
    </row>
  </sheetData>
  <sheetProtection algorithmName="SHA-512" hashValue="IXwjH6z3rYEcpGk6Hg/liqZY5ZmUlGU/WydT7xEsEI2P1Nv1Z24k/GTq/uF4+Q9+xNdI1mW8+vTHnztDhAI+LA==" saltValue="CO4fIAuavzk00eKJL0kHaQ==" spinCount="100000" sheet="1" objects="1" scenarios="1"/>
  <mergeCells count="90">
    <mergeCell ref="A71:D71"/>
    <mergeCell ref="A76:C76"/>
    <mergeCell ref="BY2:BY3"/>
    <mergeCell ref="BZ2:BZ3"/>
    <mergeCell ref="CA2:CA3"/>
    <mergeCell ref="A58:B58"/>
    <mergeCell ref="A60:B60"/>
    <mergeCell ref="B62:C63"/>
    <mergeCell ref="BQ2:BQ3"/>
    <mergeCell ref="BR2:BR3"/>
    <mergeCell ref="BS2:BS3"/>
    <mergeCell ref="BT2:BT3"/>
    <mergeCell ref="BW2:BW3"/>
    <mergeCell ref="BX2:BX3"/>
    <mergeCell ref="BI2:BI3"/>
    <mergeCell ref="BJ2:BJ3"/>
    <mergeCell ref="BK2:BK3"/>
    <mergeCell ref="BL2:BL3"/>
    <mergeCell ref="BM2:BM3"/>
    <mergeCell ref="BP2:BP3"/>
    <mergeCell ref="BB2:BB3"/>
    <mergeCell ref="BC2:BC3"/>
    <mergeCell ref="BD2:BD3"/>
    <mergeCell ref="BE2:BE3"/>
    <mergeCell ref="BF2:BF3"/>
    <mergeCell ref="BG2:BG3"/>
    <mergeCell ref="AV2:AV3"/>
    <mergeCell ref="AW2:AW3"/>
    <mergeCell ref="AX2:AX3"/>
    <mergeCell ref="AY2:AY3"/>
    <mergeCell ref="AZ2:AZ3"/>
    <mergeCell ref="BA2:BA3"/>
    <mergeCell ref="AO2:AO3"/>
    <mergeCell ref="AP2:AP3"/>
    <mergeCell ref="AQ2:AQ3"/>
    <mergeCell ref="AS2:AS3"/>
    <mergeCell ref="AT2:AT3"/>
    <mergeCell ref="AU2:AU3"/>
    <mergeCell ref="AH2:AH3"/>
    <mergeCell ref="AI2:AI3"/>
    <mergeCell ref="AJ2:AJ3"/>
    <mergeCell ref="AK2:AK3"/>
    <mergeCell ref="AM2:AM3"/>
    <mergeCell ref="AN2:AN3"/>
    <mergeCell ref="AB2:AB3"/>
    <mergeCell ref="AC2:AC3"/>
    <mergeCell ref="AD2:AD3"/>
    <mergeCell ref="AE2:AE3"/>
    <mergeCell ref="AF2:AF3"/>
    <mergeCell ref="AG2:AG3"/>
    <mergeCell ref="V2:V3"/>
    <mergeCell ref="W2:W3"/>
    <mergeCell ref="X2:X3"/>
    <mergeCell ref="Y2:Y3"/>
    <mergeCell ref="Z2:Z3"/>
    <mergeCell ref="AA2:AA3"/>
    <mergeCell ref="P2:P3"/>
    <mergeCell ref="Q2:Q3"/>
    <mergeCell ref="R2:R3"/>
    <mergeCell ref="S2:S3"/>
    <mergeCell ref="T2:T3"/>
    <mergeCell ref="U2:U3"/>
    <mergeCell ref="J2:J3"/>
    <mergeCell ref="K2:K3"/>
    <mergeCell ref="L2:L3"/>
    <mergeCell ref="M2:M3"/>
    <mergeCell ref="N2:N3"/>
    <mergeCell ref="O2:O3"/>
    <mergeCell ref="BP1:BT1"/>
    <mergeCell ref="BW1:CA1"/>
    <mergeCell ref="B2:B3"/>
    <mergeCell ref="C2:C3"/>
    <mergeCell ref="D2:D3"/>
    <mergeCell ref="E2:E3"/>
    <mergeCell ref="F2:F3"/>
    <mergeCell ref="G2:G3"/>
    <mergeCell ref="H2:H3"/>
    <mergeCell ref="I2:I3"/>
    <mergeCell ref="AG1:AK1"/>
    <mergeCell ref="AM1:AQ1"/>
    <mergeCell ref="AS1:AW1"/>
    <mergeCell ref="AX1:BB1"/>
    <mergeCell ref="BC1:BG1"/>
    <mergeCell ref="BI1:BM1"/>
    <mergeCell ref="C1:G1"/>
    <mergeCell ref="H1:L1"/>
    <mergeCell ref="M1:Q1"/>
    <mergeCell ref="R1:V1"/>
    <mergeCell ref="W1:AA1"/>
    <mergeCell ref="AB1:AF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4C274-B2D9-46BB-9CC1-8D8E3980AA03}">
  <dimension ref="A1:CA91"/>
  <sheetViews>
    <sheetView zoomScale="85" zoomScaleNormal="85" workbookViewId="0">
      <pane xSplit="1" topLeftCell="B1" activePane="topRight" state="frozen"/>
      <selection pane="topRight" activeCell="A2" sqref="A2"/>
    </sheetView>
  </sheetViews>
  <sheetFormatPr defaultRowHeight="15" x14ac:dyDescent="0.25"/>
  <cols>
    <col min="1" max="1" width="14.28515625" bestFit="1" customWidth="1"/>
    <col min="2" max="2" width="14.28515625" customWidth="1"/>
    <col min="3" max="3" width="12.5703125" bestFit="1" customWidth="1"/>
    <col min="8" max="8" width="10.42578125" bestFit="1" customWidth="1"/>
    <col min="13" max="13" width="10.42578125" bestFit="1" customWidth="1"/>
    <col min="18" max="18" width="10.42578125" bestFit="1" customWidth="1"/>
    <col min="23" max="23" width="10.42578125" bestFit="1" customWidth="1"/>
    <col min="28" max="28" width="10.42578125" bestFit="1" customWidth="1"/>
    <col min="33" max="33" width="10.42578125" bestFit="1" customWidth="1"/>
    <col min="38" max="38" width="2.7109375" customWidth="1"/>
    <col min="39" max="39" width="10.42578125" bestFit="1" customWidth="1"/>
    <col min="44" max="44" width="2.7109375" customWidth="1"/>
    <col min="45" max="45" width="10.42578125" bestFit="1" customWidth="1"/>
    <col min="50" max="50" width="10.42578125" bestFit="1" customWidth="1"/>
    <col min="55" max="55" width="10.42578125" bestFit="1" customWidth="1"/>
    <col min="60" max="60" width="2.7109375" customWidth="1"/>
    <col min="61" max="61" width="10.42578125" bestFit="1" customWidth="1"/>
    <col min="62" max="65" width="9.140625" customWidth="1"/>
    <col min="66" max="66" width="2.7109375" customWidth="1"/>
    <col min="67" max="67" width="14.28515625" bestFit="1" customWidth="1"/>
    <col min="68" max="68" width="10.42578125" bestFit="1" customWidth="1"/>
    <col min="73" max="73" width="2.7109375" customWidth="1"/>
    <col min="74" max="74" width="14.28515625" bestFit="1" customWidth="1"/>
    <col min="75" max="75" width="10.42578125" bestFit="1" customWidth="1"/>
  </cols>
  <sheetData>
    <row r="1" spans="1:79" ht="15" customHeight="1" thickBot="1" x14ac:dyDescent="0.3">
      <c r="A1" s="147" t="s">
        <v>380</v>
      </c>
      <c r="B1" s="147"/>
      <c r="C1" s="1195" t="s">
        <v>153</v>
      </c>
      <c r="D1" s="1196"/>
      <c r="E1" s="1196"/>
      <c r="F1" s="1196"/>
      <c r="G1" s="1197"/>
      <c r="H1" s="1195" t="s">
        <v>154</v>
      </c>
      <c r="I1" s="1196"/>
      <c r="J1" s="1196"/>
      <c r="K1" s="1196"/>
      <c r="L1" s="1196"/>
      <c r="M1" s="1195" t="s">
        <v>155</v>
      </c>
      <c r="N1" s="1196"/>
      <c r="O1" s="1196"/>
      <c r="P1" s="1196"/>
      <c r="Q1" s="1197"/>
      <c r="R1" s="1195" t="s">
        <v>156</v>
      </c>
      <c r="S1" s="1196"/>
      <c r="T1" s="1196"/>
      <c r="U1" s="1196"/>
      <c r="V1" s="1196"/>
      <c r="W1" s="1195" t="s">
        <v>157</v>
      </c>
      <c r="X1" s="1196"/>
      <c r="Y1" s="1196"/>
      <c r="Z1" s="1196"/>
      <c r="AA1" s="1197"/>
      <c r="AB1" s="1195" t="s">
        <v>158</v>
      </c>
      <c r="AC1" s="1196"/>
      <c r="AD1" s="1196"/>
      <c r="AE1" s="1196"/>
      <c r="AF1" s="1197"/>
      <c r="AG1" s="1195" t="s">
        <v>159</v>
      </c>
      <c r="AH1" s="1196"/>
      <c r="AI1" s="1196"/>
      <c r="AJ1" s="1196"/>
      <c r="AK1" s="1197"/>
      <c r="AM1" s="1201" t="s">
        <v>160</v>
      </c>
      <c r="AN1" s="1202"/>
      <c r="AO1" s="1202"/>
      <c r="AP1" s="1202"/>
      <c r="AQ1" s="1203"/>
      <c r="AS1" s="1204" t="s">
        <v>161</v>
      </c>
      <c r="AT1" s="1205"/>
      <c r="AU1" s="1205"/>
      <c r="AV1" s="1205"/>
      <c r="AW1" s="1206"/>
      <c r="AX1" s="1204" t="s">
        <v>162</v>
      </c>
      <c r="AY1" s="1205"/>
      <c r="AZ1" s="1205"/>
      <c r="BA1" s="1205"/>
      <c r="BB1" s="1206"/>
      <c r="BC1" s="1204" t="s">
        <v>163</v>
      </c>
      <c r="BD1" s="1205"/>
      <c r="BE1" s="1205"/>
      <c r="BF1" s="1205"/>
      <c r="BG1" s="1206"/>
      <c r="BI1" s="1207" t="s">
        <v>296</v>
      </c>
      <c r="BJ1" s="1208"/>
      <c r="BK1" s="1208"/>
      <c r="BL1" s="1208"/>
      <c r="BM1" s="1209"/>
      <c r="BO1" s="147" t="s">
        <v>380</v>
      </c>
      <c r="BP1" s="1207" t="s">
        <v>165</v>
      </c>
      <c r="BQ1" s="1208"/>
      <c r="BR1" s="1208"/>
      <c r="BS1" s="1208"/>
      <c r="BT1" s="1209"/>
      <c r="BV1" s="147"/>
      <c r="BW1" s="1207" t="s">
        <v>166</v>
      </c>
      <c r="BX1" s="1208"/>
      <c r="BY1" s="1208"/>
      <c r="BZ1" s="1208"/>
      <c r="CA1" s="1209"/>
    </row>
    <row r="2" spans="1:79" ht="15.75" customHeight="1" thickBot="1" x14ac:dyDescent="0.3">
      <c r="A2" s="148">
        <v>45748</v>
      </c>
      <c r="B2" s="1216" t="s">
        <v>935</v>
      </c>
      <c r="C2" s="1198" t="s">
        <v>57</v>
      </c>
      <c r="D2" s="1199" t="s">
        <v>58</v>
      </c>
      <c r="E2" s="1199" t="s">
        <v>59</v>
      </c>
      <c r="F2" s="1199" t="s">
        <v>60</v>
      </c>
      <c r="G2" s="1200" t="s">
        <v>61</v>
      </c>
      <c r="H2" s="1198" t="s">
        <v>57</v>
      </c>
      <c r="I2" s="1199" t="s">
        <v>58</v>
      </c>
      <c r="J2" s="1199" t="s">
        <v>59</v>
      </c>
      <c r="K2" s="1199" t="s">
        <v>60</v>
      </c>
      <c r="L2" s="1199" t="s">
        <v>61</v>
      </c>
      <c r="M2" s="1198" t="s">
        <v>57</v>
      </c>
      <c r="N2" s="1199" t="s">
        <v>58</v>
      </c>
      <c r="O2" s="1199" t="s">
        <v>59</v>
      </c>
      <c r="P2" s="1199" t="s">
        <v>60</v>
      </c>
      <c r="Q2" s="1200" t="s">
        <v>61</v>
      </c>
      <c r="R2" s="1198" t="s">
        <v>57</v>
      </c>
      <c r="S2" s="1199" t="s">
        <v>58</v>
      </c>
      <c r="T2" s="1199" t="s">
        <v>59</v>
      </c>
      <c r="U2" s="1199" t="s">
        <v>60</v>
      </c>
      <c r="V2" s="1199" t="s">
        <v>61</v>
      </c>
      <c r="W2" s="1198" t="s">
        <v>57</v>
      </c>
      <c r="X2" s="1199" t="s">
        <v>58</v>
      </c>
      <c r="Y2" s="1199" t="s">
        <v>59</v>
      </c>
      <c r="Z2" s="1199" t="s">
        <v>60</v>
      </c>
      <c r="AA2" s="1200" t="s">
        <v>61</v>
      </c>
      <c r="AB2" s="1198" t="s">
        <v>57</v>
      </c>
      <c r="AC2" s="1199" t="s">
        <v>58</v>
      </c>
      <c r="AD2" s="1199" t="s">
        <v>59</v>
      </c>
      <c r="AE2" s="1199" t="s">
        <v>60</v>
      </c>
      <c r="AF2" s="1200" t="s">
        <v>61</v>
      </c>
      <c r="AG2" s="1198" t="s">
        <v>57</v>
      </c>
      <c r="AH2" s="1199" t="s">
        <v>58</v>
      </c>
      <c r="AI2" s="1199" t="s">
        <v>59</v>
      </c>
      <c r="AJ2" s="1199" t="s">
        <v>60</v>
      </c>
      <c r="AK2" s="1200" t="s">
        <v>61</v>
      </c>
      <c r="AM2" s="1198" t="s">
        <v>57</v>
      </c>
      <c r="AN2" s="1199" t="s">
        <v>58</v>
      </c>
      <c r="AO2" s="1199" t="s">
        <v>59</v>
      </c>
      <c r="AP2" s="1199" t="s">
        <v>60</v>
      </c>
      <c r="AQ2" s="1200" t="s">
        <v>61</v>
      </c>
      <c r="AS2" s="1198" t="s">
        <v>57</v>
      </c>
      <c r="AT2" s="1199" t="s">
        <v>58</v>
      </c>
      <c r="AU2" s="1199" t="s">
        <v>59</v>
      </c>
      <c r="AV2" s="1199" t="s">
        <v>60</v>
      </c>
      <c r="AW2" s="1200" t="s">
        <v>61</v>
      </c>
      <c r="AX2" s="1198" t="s">
        <v>57</v>
      </c>
      <c r="AY2" s="1199" t="s">
        <v>58</v>
      </c>
      <c r="AZ2" s="1199" t="s">
        <v>59</v>
      </c>
      <c r="BA2" s="1199" t="s">
        <v>60</v>
      </c>
      <c r="BB2" s="1200" t="s">
        <v>61</v>
      </c>
      <c r="BC2" s="1198" t="s">
        <v>57</v>
      </c>
      <c r="BD2" s="1199" t="s">
        <v>58</v>
      </c>
      <c r="BE2" s="1199" t="s">
        <v>59</v>
      </c>
      <c r="BF2" s="1199" t="s">
        <v>60</v>
      </c>
      <c r="BG2" s="1200" t="s">
        <v>61</v>
      </c>
      <c r="BI2" s="1198" t="s">
        <v>57</v>
      </c>
      <c r="BJ2" s="1199" t="s">
        <v>58</v>
      </c>
      <c r="BK2" s="1199" t="s">
        <v>59</v>
      </c>
      <c r="BL2" s="1199" t="s">
        <v>60</v>
      </c>
      <c r="BM2" s="1200" t="s">
        <v>61</v>
      </c>
      <c r="BO2" s="148">
        <v>45809</v>
      </c>
      <c r="BP2" s="1198" t="s">
        <v>57</v>
      </c>
      <c r="BQ2" s="1199" t="s">
        <v>58</v>
      </c>
      <c r="BR2" s="1199" t="s">
        <v>59</v>
      </c>
      <c r="BS2" s="1199" t="s">
        <v>60</v>
      </c>
      <c r="BT2" s="1200" t="s">
        <v>61</v>
      </c>
      <c r="BV2" s="343"/>
      <c r="BW2" s="1198" t="s">
        <v>57</v>
      </c>
      <c r="BX2" s="1199" t="s">
        <v>58</v>
      </c>
      <c r="BY2" s="1199" t="s">
        <v>59</v>
      </c>
      <c r="BZ2" s="1199" t="s">
        <v>60</v>
      </c>
      <c r="CA2" s="1200" t="s">
        <v>61</v>
      </c>
    </row>
    <row r="3" spans="1:79" ht="16.5" thickBot="1" x14ac:dyDescent="0.3">
      <c r="A3" s="149" t="s">
        <v>79</v>
      </c>
      <c r="B3" s="1217"/>
      <c r="C3" s="1198"/>
      <c r="D3" s="1199"/>
      <c r="E3" s="1199"/>
      <c r="F3" s="1199"/>
      <c r="G3" s="1200"/>
      <c r="H3" s="1198"/>
      <c r="I3" s="1199"/>
      <c r="J3" s="1199"/>
      <c r="K3" s="1199"/>
      <c r="L3" s="1199"/>
      <c r="M3" s="1198"/>
      <c r="N3" s="1199"/>
      <c r="O3" s="1199"/>
      <c r="P3" s="1199"/>
      <c r="Q3" s="1200"/>
      <c r="R3" s="1198"/>
      <c r="S3" s="1199"/>
      <c r="T3" s="1199"/>
      <c r="U3" s="1199"/>
      <c r="V3" s="1199"/>
      <c r="W3" s="1198"/>
      <c r="X3" s="1199"/>
      <c r="Y3" s="1199"/>
      <c r="Z3" s="1199"/>
      <c r="AA3" s="1200"/>
      <c r="AB3" s="1198"/>
      <c r="AC3" s="1199"/>
      <c r="AD3" s="1199"/>
      <c r="AE3" s="1199"/>
      <c r="AF3" s="1200"/>
      <c r="AG3" s="1198"/>
      <c r="AH3" s="1199"/>
      <c r="AI3" s="1199"/>
      <c r="AJ3" s="1199"/>
      <c r="AK3" s="1200"/>
      <c r="AM3" s="1198"/>
      <c r="AN3" s="1199"/>
      <c r="AO3" s="1199"/>
      <c r="AP3" s="1199"/>
      <c r="AQ3" s="1200"/>
      <c r="AS3" s="1198"/>
      <c r="AT3" s="1199"/>
      <c r="AU3" s="1199"/>
      <c r="AV3" s="1199"/>
      <c r="AW3" s="1200"/>
      <c r="AX3" s="1198"/>
      <c r="AY3" s="1199"/>
      <c r="AZ3" s="1199"/>
      <c r="BA3" s="1199"/>
      <c r="BB3" s="1200"/>
      <c r="BC3" s="1198"/>
      <c r="BD3" s="1199"/>
      <c r="BE3" s="1199"/>
      <c r="BF3" s="1199"/>
      <c r="BG3" s="1200"/>
      <c r="BI3" s="1198"/>
      <c r="BJ3" s="1199"/>
      <c r="BK3" s="1199"/>
      <c r="BL3" s="1199"/>
      <c r="BM3" s="1200"/>
      <c r="BO3" s="529"/>
      <c r="BP3" s="1198"/>
      <c r="BQ3" s="1199"/>
      <c r="BR3" s="1199"/>
      <c r="BS3" s="1199"/>
      <c r="BT3" s="1200"/>
      <c r="BV3" s="529"/>
      <c r="BW3" s="1198"/>
      <c r="BX3" s="1199"/>
      <c r="BY3" s="1199"/>
      <c r="BZ3" s="1199"/>
      <c r="CA3" s="1200"/>
    </row>
    <row r="4" spans="1:79" x14ac:dyDescent="0.25">
      <c r="A4" s="150" t="s">
        <v>81</v>
      </c>
      <c r="B4" s="496">
        <v>55850</v>
      </c>
      <c r="C4" s="151">
        <v>391</v>
      </c>
      <c r="D4" s="147">
        <v>419</v>
      </c>
      <c r="E4" s="147">
        <v>503</v>
      </c>
      <c r="F4" s="147">
        <v>581</v>
      </c>
      <c r="G4" s="152">
        <v>648</v>
      </c>
      <c r="H4" s="151">
        <v>586</v>
      </c>
      <c r="I4" s="147">
        <v>628</v>
      </c>
      <c r="J4" s="147">
        <v>754</v>
      </c>
      <c r="K4" s="147">
        <v>871</v>
      </c>
      <c r="L4" s="147">
        <v>972</v>
      </c>
      <c r="M4" s="151">
        <v>782</v>
      </c>
      <c r="N4" s="147">
        <v>838</v>
      </c>
      <c r="O4" s="147">
        <v>1006</v>
      </c>
      <c r="P4" s="147">
        <v>1162</v>
      </c>
      <c r="Q4" s="152">
        <v>1296</v>
      </c>
      <c r="R4" s="151">
        <v>977</v>
      </c>
      <c r="S4" s="147">
        <v>1047</v>
      </c>
      <c r="T4" s="147">
        <v>1257</v>
      </c>
      <c r="U4" s="147">
        <v>1452</v>
      </c>
      <c r="V4" s="147">
        <v>1620</v>
      </c>
      <c r="W4" s="151">
        <v>1173</v>
      </c>
      <c r="X4" s="147">
        <v>1257</v>
      </c>
      <c r="Y4" s="147">
        <v>1509</v>
      </c>
      <c r="Z4" s="147">
        <v>1743</v>
      </c>
      <c r="AA4" s="152">
        <v>1944</v>
      </c>
      <c r="AB4" s="151">
        <v>1368</v>
      </c>
      <c r="AC4" s="147">
        <v>1466</v>
      </c>
      <c r="AD4" s="147">
        <v>1760</v>
      </c>
      <c r="AE4" s="147">
        <v>2033</v>
      </c>
      <c r="AF4" s="152">
        <v>2268</v>
      </c>
      <c r="AG4" s="151">
        <v>1564</v>
      </c>
      <c r="AH4" s="147">
        <v>1676</v>
      </c>
      <c r="AI4" s="147">
        <v>2012</v>
      </c>
      <c r="AJ4" s="147">
        <v>2324</v>
      </c>
      <c r="AK4" s="152">
        <v>2592</v>
      </c>
      <c r="AM4" s="151">
        <v>586</v>
      </c>
      <c r="AN4" s="147">
        <v>628</v>
      </c>
      <c r="AO4" s="147">
        <v>753</v>
      </c>
      <c r="AP4" s="147">
        <v>872</v>
      </c>
      <c r="AQ4" s="152">
        <v>1078</v>
      </c>
      <c r="AS4" s="151">
        <v>586</v>
      </c>
      <c r="AT4" s="147">
        <v>628</v>
      </c>
      <c r="AU4" s="147">
        <v>754</v>
      </c>
      <c r="AV4" s="147">
        <v>889</v>
      </c>
      <c r="AW4" s="152">
        <v>1078</v>
      </c>
      <c r="AX4" s="151">
        <v>977</v>
      </c>
      <c r="AY4" s="147">
        <v>1047</v>
      </c>
      <c r="AZ4" s="147">
        <v>1257</v>
      </c>
      <c r="BA4" s="147">
        <v>1452</v>
      </c>
      <c r="BB4" s="152">
        <v>1620</v>
      </c>
      <c r="BC4" s="151">
        <v>1564</v>
      </c>
      <c r="BD4" s="147">
        <v>1676</v>
      </c>
      <c r="BE4" s="147">
        <v>2012</v>
      </c>
      <c r="BF4" s="147">
        <v>2324</v>
      </c>
      <c r="BG4" s="152">
        <v>2592</v>
      </c>
      <c r="BI4" s="151">
        <v>753</v>
      </c>
      <c r="BJ4" s="147">
        <v>758</v>
      </c>
      <c r="BK4" s="147">
        <v>928</v>
      </c>
      <c r="BL4" s="147">
        <v>1300</v>
      </c>
      <c r="BM4" s="152">
        <v>1558</v>
      </c>
      <c r="BO4" s="528" t="s">
        <v>81</v>
      </c>
      <c r="BP4" s="151">
        <v>753</v>
      </c>
      <c r="BQ4" s="147">
        <v>758</v>
      </c>
      <c r="BR4" s="147">
        <v>928</v>
      </c>
      <c r="BS4" s="147">
        <v>1300</v>
      </c>
      <c r="BT4" s="152">
        <v>1558</v>
      </c>
      <c r="BV4" s="528" t="s">
        <v>81</v>
      </c>
      <c r="BW4" s="151">
        <v>753</v>
      </c>
      <c r="BX4" s="147">
        <v>758</v>
      </c>
      <c r="BY4" s="147">
        <v>928</v>
      </c>
      <c r="BZ4" s="147">
        <v>1300</v>
      </c>
      <c r="CA4" s="152">
        <v>1558</v>
      </c>
    </row>
    <row r="5" spans="1:79" s="157" customFormat="1" x14ac:dyDescent="0.25">
      <c r="A5" s="153" t="s">
        <v>82</v>
      </c>
      <c r="B5" s="497">
        <v>52200</v>
      </c>
      <c r="C5" s="154">
        <v>365</v>
      </c>
      <c r="D5" s="155">
        <v>391</v>
      </c>
      <c r="E5" s="155">
        <v>470</v>
      </c>
      <c r="F5" s="155">
        <v>543</v>
      </c>
      <c r="G5" s="156">
        <v>605</v>
      </c>
      <c r="H5" s="154">
        <v>548</v>
      </c>
      <c r="I5" s="155">
        <v>587</v>
      </c>
      <c r="J5" s="155">
        <v>705</v>
      </c>
      <c r="K5" s="155">
        <v>814</v>
      </c>
      <c r="L5" s="155">
        <v>909</v>
      </c>
      <c r="M5" s="154">
        <v>731</v>
      </c>
      <c r="N5" s="155">
        <v>783</v>
      </c>
      <c r="O5" s="155">
        <v>940</v>
      </c>
      <c r="P5" s="155">
        <v>1086</v>
      </c>
      <c r="Q5" s="156">
        <v>1212</v>
      </c>
      <c r="R5" s="154">
        <v>913</v>
      </c>
      <c r="S5" s="155">
        <v>979</v>
      </c>
      <c r="T5" s="155">
        <v>1175</v>
      </c>
      <c r="U5" s="155">
        <v>1357</v>
      </c>
      <c r="V5" s="155">
        <v>1515</v>
      </c>
      <c r="W5" s="154">
        <v>1096</v>
      </c>
      <c r="X5" s="155">
        <v>1175</v>
      </c>
      <c r="Y5" s="155">
        <v>1410</v>
      </c>
      <c r="Z5" s="155">
        <v>1629</v>
      </c>
      <c r="AA5" s="156">
        <v>1818</v>
      </c>
      <c r="AB5" s="154">
        <v>1279</v>
      </c>
      <c r="AC5" s="155">
        <v>1371</v>
      </c>
      <c r="AD5" s="155">
        <v>1645</v>
      </c>
      <c r="AE5" s="155">
        <v>1900</v>
      </c>
      <c r="AF5" s="156">
        <v>2121</v>
      </c>
      <c r="AG5" s="154">
        <v>1462</v>
      </c>
      <c r="AH5" s="155">
        <v>1567</v>
      </c>
      <c r="AI5" s="155">
        <v>1880</v>
      </c>
      <c r="AJ5" s="155">
        <v>2172</v>
      </c>
      <c r="AK5" s="156">
        <v>2424</v>
      </c>
      <c r="AL5"/>
      <c r="AM5" s="154">
        <v>548</v>
      </c>
      <c r="AN5" s="155">
        <v>587</v>
      </c>
      <c r="AO5" s="155">
        <v>705</v>
      </c>
      <c r="AP5" s="155">
        <v>872</v>
      </c>
      <c r="AQ5" s="156">
        <v>1078</v>
      </c>
      <c r="AR5"/>
      <c r="AS5" s="154">
        <v>548</v>
      </c>
      <c r="AT5" s="155">
        <v>587</v>
      </c>
      <c r="AU5" s="155">
        <v>705</v>
      </c>
      <c r="AV5" s="155">
        <v>872</v>
      </c>
      <c r="AW5" s="156">
        <v>1078</v>
      </c>
      <c r="AX5" s="154">
        <v>913</v>
      </c>
      <c r="AY5" s="155">
        <v>979</v>
      </c>
      <c r="AZ5" s="155">
        <v>1175</v>
      </c>
      <c r="BA5" s="155">
        <v>1357</v>
      </c>
      <c r="BB5" s="156">
        <v>1515</v>
      </c>
      <c r="BC5" s="154">
        <v>1462</v>
      </c>
      <c r="BD5" s="155">
        <v>1567</v>
      </c>
      <c r="BE5" s="155">
        <v>1880</v>
      </c>
      <c r="BF5" s="155">
        <v>2172</v>
      </c>
      <c r="BG5" s="156">
        <v>2424</v>
      </c>
      <c r="BH5"/>
      <c r="BI5" s="154">
        <v>703</v>
      </c>
      <c r="BJ5" s="155">
        <v>707</v>
      </c>
      <c r="BK5" s="155">
        <v>928</v>
      </c>
      <c r="BL5" s="155">
        <v>1118</v>
      </c>
      <c r="BM5" s="156">
        <v>1558</v>
      </c>
      <c r="BN5"/>
      <c r="BO5" s="153" t="s">
        <v>82</v>
      </c>
      <c r="BP5" s="154">
        <v>703</v>
      </c>
      <c r="BQ5" s="155">
        <v>707</v>
      </c>
      <c r="BR5" s="155">
        <v>928</v>
      </c>
      <c r="BS5" s="155">
        <v>1118</v>
      </c>
      <c r="BT5" s="156">
        <v>1515</v>
      </c>
      <c r="BU5"/>
      <c r="BV5" s="153" t="s">
        <v>82</v>
      </c>
      <c r="BW5" s="154">
        <v>703</v>
      </c>
      <c r="BX5" s="155">
        <v>707</v>
      </c>
      <c r="BY5" s="155">
        <v>928</v>
      </c>
      <c r="BZ5" s="155">
        <v>1118</v>
      </c>
      <c r="CA5" s="156">
        <v>1558</v>
      </c>
    </row>
    <row r="6" spans="1:79" x14ac:dyDescent="0.25">
      <c r="A6" s="150" t="s">
        <v>83</v>
      </c>
      <c r="B6" s="496">
        <v>52200</v>
      </c>
      <c r="C6" s="151">
        <v>365</v>
      </c>
      <c r="D6" s="147">
        <v>391</v>
      </c>
      <c r="E6" s="147">
        <v>470</v>
      </c>
      <c r="F6" s="147">
        <v>543</v>
      </c>
      <c r="G6" s="152">
        <v>605</v>
      </c>
      <c r="H6" s="151">
        <v>548</v>
      </c>
      <c r="I6" s="147">
        <v>587</v>
      </c>
      <c r="J6" s="147">
        <v>705</v>
      </c>
      <c r="K6" s="147">
        <v>814</v>
      </c>
      <c r="L6" s="147">
        <v>909</v>
      </c>
      <c r="M6" s="151">
        <v>731</v>
      </c>
      <c r="N6" s="147">
        <v>783</v>
      </c>
      <c r="O6" s="147">
        <v>940</v>
      </c>
      <c r="P6" s="147">
        <v>1086</v>
      </c>
      <c r="Q6" s="152">
        <v>1212</v>
      </c>
      <c r="R6" s="151">
        <v>913</v>
      </c>
      <c r="S6" s="147">
        <v>979</v>
      </c>
      <c r="T6" s="147">
        <v>1175</v>
      </c>
      <c r="U6" s="147">
        <v>1357</v>
      </c>
      <c r="V6" s="147">
        <v>1515</v>
      </c>
      <c r="W6" s="151">
        <v>1096</v>
      </c>
      <c r="X6" s="147">
        <v>1175</v>
      </c>
      <c r="Y6" s="147">
        <v>1410</v>
      </c>
      <c r="Z6" s="147">
        <v>1629</v>
      </c>
      <c r="AA6" s="152">
        <v>1818</v>
      </c>
      <c r="AB6" s="151">
        <v>1279</v>
      </c>
      <c r="AC6" s="147">
        <v>1371</v>
      </c>
      <c r="AD6" s="147">
        <v>1645</v>
      </c>
      <c r="AE6" s="147">
        <v>1900</v>
      </c>
      <c r="AF6" s="152">
        <v>2121</v>
      </c>
      <c r="AG6" s="151">
        <v>1462</v>
      </c>
      <c r="AH6" s="147">
        <v>1567</v>
      </c>
      <c r="AI6" s="147">
        <v>1880</v>
      </c>
      <c r="AJ6" s="147">
        <v>2172</v>
      </c>
      <c r="AK6" s="152">
        <v>2424</v>
      </c>
      <c r="AM6" s="151">
        <v>548</v>
      </c>
      <c r="AN6" s="147">
        <v>587</v>
      </c>
      <c r="AO6" s="147">
        <v>705</v>
      </c>
      <c r="AP6" s="147">
        <v>872</v>
      </c>
      <c r="AQ6" s="152">
        <v>1078</v>
      </c>
      <c r="AS6" s="151">
        <v>548</v>
      </c>
      <c r="AT6" s="147">
        <v>587</v>
      </c>
      <c r="AU6" s="147">
        <v>705</v>
      </c>
      <c r="AV6" s="147">
        <v>872</v>
      </c>
      <c r="AW6" s="152">
        <v>1078</v>
      </c>
      <c r="AX6" s="151">
        <v>913</v>
      </c>
      <c r="AY6" s="147">
        <v>979</v>
      </c>
      <c r="AZ6" s="147">
        <v>1175</v>
      </c>
      <c r="BA6" s="147">
        <v>1357</v>
      </c>
      <c r="BB6" s="152">
        <v>1515</v>
      </c>
      <c r="BC6" s="151">
        <v>1462</v>
      </c>
      <c r="BD6" s="147">
        <v>1567</v>
      </c>
      <c r="BE6" s="147">
        <v>1880</v>
      </c>
      <c r="BF6" s="147">
        <v>2172</v>
      </c>
      <c r="BG6" s="152">
        <v>2424</v>
      </c>
      <c r="BI6" s="151">
        <v>807</v>
      </c>
      <c r="BJ6" s="147">
        <v>810</v>
      </c>
      <c r="BK6" s="147">
        <v>928</v>
      </c>
      <c r="BL6" s="147">
        <v>1300</v>
      </c>
      <c r="BM6" s="152">
        <v>1558</v>
      </c>
      <c r="BO6" s="150" t="s">
        <v>83</v>
      </c>
      <c r="BP6" s="151">
        <v>807</v>
      </c>
      <c r="BQ6" s="147">
        <v>810</v>
      </c>
      <c r="BR6" s="147">
        <v>928</v>
      </c>
      <c r="BS6" s="147">
        <v>1300</v>
      </c>
      <c r="BT6" s="152">
        <v>1515</v>
      </c>
      <c r="BV6" s="150" t="s">
        <v>83</v>
      </c>
      <c r="BW6" s="151">
        <v>807</v>
      </c>
      <c r="BX6" s="147">
        <v>810</v>
      </c>
      <c r="BY6" s="147">
        <v>928</v>
      </c>
      <c r="BZ6" s="147">
        <v>1300</v>
      </c>
      <c r="CA6" s="152">
        <v>1558</v>
      </c>
    </row>
    <row r="7" spans="1:79" s="157" customFormat="1" x14ac:dyDescent="0.25">
      <c r="A7" s="153" t="s">
        <v>84</v>
      </c>
      <c r="B7" s="497">
        <v>57900</v>
      </c>
      <c r="C7" s="154">
        <v>405</v>
      </c>
      <c r="D7" s="155">
        <v>434</v>
      </c>
      <c r="E7" s="155">
        <v>521</v>
      </c>
      <c r="F7" s="155">
        <v>602</v>
      </c>
      <c r="G7" s="156">
        <v>672</v>
      </c>
      <c r="H7" s="154">
        <v>608</v>
      </c>
      <c r="I7" s="155">
        <v>651</v>
      </c>
      <c r="J7" s="155">
        <v>782</v>
      </c>
      <c r="K7" s="155">
        <v>903</v>
      </c>
      <c r="L7" s="155">
        <v>1008</v>
      </c>
      <c r="M7" s="154">
        <v>811</v>
      </c>
      <c r="N7" s="155">
        <v>869</v>
      </c>
      <c r="O7" s="155">
        <v>1043</v>
      </c>
      <c r="P7" s="155">
        <v>1204</v>
      </c>
      <c r="Q7" s="156">
        <v>1344</v>
      </c>
      <c r="R7" s="154">
        <v>1013</v>
      </c>
      <c r="S7" s="155">
        <v>1086</v>
      </c>
      <c r="T7" s="155">
        <v>1303</v>
      </c>
      <c r="U7" s="155">
        <v>1505</v>
      </c>
      <c r="V7" s="155">
        <v>1680</v>
      </c>
      <c r="W7" s="154">
        <v>1216</v>
      </c>
      <c r="X7" s="155">
        <v>1303</v>
      </c>
      <c r="Y7" s="155">
        <v>1564</v>
      </c>
      <c r="Z7" s="155">
        <v>1806</v>
      </c>
      <c r="AA7" s="156">
        <v>2016</v>
      </c>
      <c r="AB7" s="154">
        <v>1419</v>
      </c>
      <c r="AC7" s="155">
        <v>1520</v>
      </c>
      <c r="AD7" s="155">
        <v>1825</v>
      </c>
      <c r="AE7" s="155">
        <v>2107</v>
      </c>
      <c r="AF7" s="156">
        <v>2352</v>
      </c>
      <c r="AG7" s="154">
        <v>1622</v>
      </c>
      <c r="AH7" s="155">
        <v>1738</v>
      </c>
      <c r="AI7" s="155">
        <v>2086</v>
      </c>
      <c r="AJ7" s="155">
        <v>2409</v>
      </c>
      <c r="AK7" s="156">
        <v>2688</v>
      </c>
      <c r="AL7"/>
      <c r="AM7" s="154">
        <v>608</v>
      </c>
      <c r="AN7" s="155">
        <v>651</v>
      </c>
      <c r="AO7" s="155">
        <v>782</v>
      </c>
      <c r="AP7" s="155">
        <v>903</v>
      </c>
      <c r="AQ7" s="156">
        <v>1078</v>
      </c>
      <c r="AR7"/>
      <c r="AS7" s="154">
        <v>608</v>
      </c>
      <c r="AT7" s="155">
        <v>651</v>
      </c>
      <c r="AU7" s="155">
        <v>782</v>
      </c>
      <c r="AV7" s="155">
        <v>904</v>
      </c>
      <c r="AW7" s="156">
        <v>1078</v>
      </c>
      <c r="AX7" s="154">
        <v>1013</v>
      </c>
      <c r="AY7" s="155">
        <v>1086</v>
      </c>
      <c r="AZ7" s="155">
        <v>1303</v>
      </c>
      <c r="BA7" s="155">
        <v>1505</v>
      </c>
      <c r="BB7" s="156">
        <v>1680</v>
      </c>
      <c r="BC7" s="154">
        <v>1622</v>
      </c>
      <c r="BD7" s="155">
        <v>1738</v>
      </c>
      <c r="BE7" s="155">
        <v>2086</v>
      </c>
      <c r="BF7" s="155">
        <v>2409</v>
      </c>
      <c r="BG7" s="156">
        <v>2688</v>
      </c>
      <c r="BH7"/>
      <c r="BI7" s="154">
        <v>753</v>
      </c>
      <c r="BJ7" s="155">
        <v>758</v>
      </c>
      <c r="BK7" s="155">
        <v>928</v>
      </c>
      <c r="BL7" s="155">
        <v>1300</v>
      </c>
      <c r="BM7" s="156">
        <v>1558</v>
      </c>
      <c r="BN7"/>
      <c r="BO7" s="153" t="s">
        <v>84</v>
      </c>
      <c r="BP7" s="154">
        <v>753</v>
      </c>
      <c r="BQ7" s="155">
        <v>758</v>
      </c>
      <c r="BR7" s="155">
        <v>928</v>
      </c>
      <c r="BS7" s="155">
        <v>1300</v>
      </c>
      <c r="BT7" s="156">
        <v>1558</v>
      </c>
      <c r="BU7"/>
      <c r="BV7" s="153" t="s">
        <v>84</v>
      </c>
      <c r="BW7" s="154">
        <v>753</v>
      </c>
      <c r="BX7" s="155">
        <v>758</v>
      </c>
      <c r="BY7" s="155">
        <v>928</v>
      </c>
      <c r="BZ7" s="155">
        <v>1300</v>
      </c>
      <c r="CA7" s="156">
        <v>1558</v>
      </c>
    </row>
    <row r="8" spans="1:79" x14ac:dyDescent="0.25">
      <c r="A8" s="150" t="s">
        <v>85</v>
      </c>
      <c r="B8" s="496">
        <v>55750</v>
      </c>
      <c r="C8" s="151">
        <v>390</v>
      </c>
      <c r="D8" s="147">
        <v>418</v>
      </c>
      <c r="E8" s="147">
        <v>502</v>
      </c>
      <c r="F8" s="147">
        <v>580</v>
      </c>
      <c r="G8" s="152">
        <v>647</v>
      </c>
      <c r="H8" s="151">
        <v>585</v>
      </c>
      <c r="I8" s="147">
        <v>627</v>
      </c>
      <c r="J8" s="147">
        <v>753</v>
      </c>
      <c r="K8" s="147">
        <v>870</v>
      </c>
      <c r="L8" s="147">
        <v>970</v>
      </c>
      <c r="M8" s="151">
        <v>781</v>
      </c>
      <c r="N8" s="147">
        <v>836</v>
      </c>
      <c r="O8" s="147">
        <v>1004</v>
      </c>
      <c r="P8" s="147">
        <v>1160</v>
      </c>
      <c r="Q8" s="152">
        <v>1294</v>
      </c>
      <c r="R8" s="151">
        <v>976</v>
      </c>
      <c r="S8" s="147">
        <v>1045</v>
      </c>
      <c r="T8" s="147">
        <v>1255</v>
      </c>
      <c r="U8" s="147">
        <v>1450</v>
      </c>
      <c r="V8" s="147">
        <v>1617</v>
      </c>
      <c r="W8" s="151">
        <v>1171</v>
      </c>
      <c r="X8" s="147">
        <v>1254</v>
      </c>
      <c r="Y8" s="147">
        <v>1506</v>
      </c>
      <c r="Z8" s="147">
        <v>1740</v>
      </c>
      <c r="AA8" s="152">
        <v>1941</v>
      </c>
      <c r="AB8" s="151">
        <v>1366</v>
      </c>
      <c r="AC8" s="147">
        <v>1463</v>
      </c>
      <c r="AD8" s="147">
        <v>1757</v>
      </c>
      <c r="AE8" s="147">
        <v>2030</v>
      </c>
      <c r="AF8" s="152">
        <v>2264</v>
      </c>
      <c r="AG8" s="151">
        <v>1562</v>
      </c>
      <c r="AH8" s="147">
        <v>1673</v>
      </c>
      <c r="AI8" s="147">
        <v>2008</v>
      </c>
      <c r="AJ8" s="147">
        <v>2320</v>
      </c>
      <c r="AK8" s="152">
        <v>2588</v>
      </c>
      <c r="AM8" s="151">
        <v>586</v>
      </c>
      <c r="AN8" s="147">
        <v>628</v>
      </c>
      <c r="AO8" s="147">
        <v>753</v>
      </c>
      <c r="AP8" s="147">
        <v>872</v>
      </c>
      <c r="AQ8" s="152">
        <v>1078</v>
      </c>
      <c r="AS8" s="151">
        <v>585</v>
      </c>
      <c r="AT8" s="147">
        <v>627</v>
      </c>
      <c r="AU8" s="147">
        <v>753</v>
      </c>
      <c r="AV8" s="147">
        <v>888</v>
      </c>
      <c r="AW8" s="152">
        <v>1078</v>
      </c>
      <c r="AX8" s="151">
        <v>976</v>
      </c>
      <c r="AY8" s="147">
        <v>1045</v>
      </c>
      <c r="AZ8" s="147">
        <v>1255</v>
      </c>
      <c r="BA8" s="147">
        <v>1450</v>
      </c>
      <c r="BB8" s="152">
        <v>1617</v>
      </c>
      <c r="BC8" s="151">
        <v>1562</v>
      </c>
      <c r="BD8" s="147">
        <v>1673</v>
      </c>
      <c r="BE8" s="147">
        <v>2008</v>
      </c>
      <c r="BF8" s="147">
        <v>2320</v>
      </c>
      <c r="BG8" s="152">
        <v>2588</v>
      </c>
      <c r="BI8" s="151">
        <v>759</v>
      </c>
      <c r="BJ8" s="147">
        <v>763</v>
      </c>
      <c r="BK8" s="147">
        <v>928</v>
      </c>
      <c r="BL8" s="147">
        <v>1281</v>
      </c>
      <c r="BM8" s="152">
        <v>1558</v>
      </c>
      <c r="BO8" s="150" t="s">
        <v>85</v>
      </c>
      <c r="BP8" s="151">
        <v>759</v>
      </c>
      <c r="BQ8" s="147">
        <v>763</v>
      </c>
      <c r="BR8" s="147">
        <v>928</v>
      </c>
      <c r="BS8" s="147">
        <v>1281</v>
      </c>
      <c r="BT8" s="152">
        <v>1558</v>
      </c>
      <c r="BV8" s="150" t="s">
        <v>85</v>
      </c>
      <c r="BW8" s="151">
        <v>759</v>
      </c>
      <c r="BX8" s="147">
        <v>763</v>
      </c>
      <c r="BY8" s="147">
        <v>928</v>
      </c>
      <c r="BZ8" s="147">
        <v>1281</v>
      </c>
      <c r="CA8" s="152">
        <v>1558</v>
      </c>
    </row>
    <row r="9" spans="1:79" s="157" customFormat="1" x14ac:dyDescent="0.25">
      <c r="A9" s="153" t="s">
        <v>86</v>
      </c>
      <c r="B9" s="497">
        <v>53350</v>
      </c>
      <c r="C9" s="154">
        <v>373</v>
      </c>
      <c r="D9" s="155">
        <v>400</v>
      </c>
      <c r="E9" s="155">
        <v>480</v>
      </c>
      <c r="F9" s="155">
        <v>555</v>
      </c>
      <c r="G9" s="156">
        <v>619</v>
      </c>
      <c r="H9" s="154">
        <v>560</v>
      </c>
      <c r="I9" s="155">
        <v>600</v>
      </c>
      <c r="J9" s="155">
        <v>720</v>
      </c>
      <c r="K9" s="155">
        <v>832</v>
      </c>
      <c r="L9" s="155">
        <v>928</v>
      </c>
      <c r="M9" s="154">
        <v>747</v>
      </c>
      <c r="N9" s="155">
        <v>800</v>
      </c>
      <c r="O9" s="155">
        <v>961</v>
      </c>
      <c r="P9" s="155">
        <v>1110</v>
      </c>
      <c r="Q9" s="156">
        <v>1238</v>
      </c>
      <c r="R9" s="154">
        <v>933</v>
      </c>
      <c r="S9" s="155">
        <v>1000</v>
      </c>
      <c r="T9" s="155">
        <v>1201</v>
      </c>
      <c r="U9" s="155">
        <v>1387</v>
      </c>
      <c r="V9" s="155">
        <v>1547</v>
      </c>
      <c r="W9" s="154">
        <v>1120</v>
      </c>
      <c r="X9" s="155">
        <v>1200</v>
      </c>
      <c r="Y9" s="155">
        <v>1441</v>
      </c>
      <c r="Z9" s="155">
        <v>1665</v>
      </c>
      <c r="AA9" s="156">
        <v>1857</v>
      </c>
      <c r="AB9" s="154">
        <v>1307</v>
      </c>
      <c r="AC9" s="155">
        <v>1400</v>
      </c>
      <c r="AD9" s="155">
        <v>1681</v>
      </c>
      <c r="AE9" s="155">
        <v>1942</v>
      </c>
      <c r="AF9" s="156">
        <v>2166</v>
      </c>
      <c r="AG9" s="154">
        <v>1494</v>
      </c>
      <c r="AH9" s="155">
        <v>1601</v>
      </c>
      <c r="AI9" s="155">
        <v>1922</v>
      </c>
      <c r="AJ9" s="155">
        <v>2220</v>
      </c>
      <c r="AK9" s="156">
        <v>2476</v>
      </c>
      <c r="AL9"/>
      <c r="AM9" s="154">
        <v>560</v>
      </c>
      <c r="AN9" s="155">
        <v>600</v>
      </c>
      <c r="AO9" s="155">
        <v>720</v>
      </c>
      <c r="AP9" s="155">
        <v>872</v>
      </c>
      <c r="AQ9" s="156">
        <v>1078</v>
      </c>
      <c r="AR9"/>
      <c r="AS9" s="154">
        <v>560</v>
      </c>
      <c r="AT9" s="155">
        <v>600</v>
      </c>
      <c r="AU9" s="155">
        <v>720</v>
      </c>
      <c r="AV9" s="155">
        <v>872</v>
      </c>
      <c r="AW9" s="156">
        <v>1078</v>
      </c>
      <c r="AX9" s="154">
        <v>933</v>
      </c>
      <c r="AY9" s="155">
        <v>1000</v>
      </c>
      <c r="AZ9" s="155">
        <v>1201</v>
      </c>
      <c r="BA9" s="155">
        <v>1387</v>
      </c>
      <c r="BB9" s="156">
        <v>1547</v>
      </c>
      <c r="BC9" s="154">
        <v>1494</v>
      </c>
      <c r="BD9" s="155">
        <v>1601</v>
      </c>
      <c r="BE9" s="155">
        <v>1922</v>
      </c>
      <c r="BF9" s="155">
        <v>2220</v>
      </c>
      <c r="BG9" s="156">
        <v>2476</v>
      </c>
      <c r="BH9"/>
      <c r="BI9" s="154">
        <v>807</v>
      </c>
      <c r="BJ9" s="155">
        <v>838</v>
      </c>
      <c r="BK9" s="155">
        <v>928</v>
      </c>
      <c r="BL9" s="155">
        <v>1300</v>
      </c>
      <c r="BM9" s="156">
        <v>1435</v>
      </c>
      <c r="BN9"/>
      <c r="BO9" s="153" t="s">
        <v>86</v>
      </c>
      <c r="BP9" s="154">
        <v>807</v>
      </c>
      <c r="BQ9" s="155">
        <v>838</v>
      </c>
      <c r="BR9" s="155">
        <v>928</v>
      </c>
      <c r="BS9" s="155">
        <v>1300</v>
      </c>
      <c r="BT9" s="156">
        <v>1435</v>
      </c>
      <c r="BU9"/>
      <c r="BV9" s="153" t="s">
        <v>86</v>
      </c>
      <c r="BW9" s="154">
        <v>807</v>
      </c>
      <c r="BX9" s="155">
        <v>838</v>
      </c>
      <c r="BY9" s="155">
        <v>928</v>
      </c>
      <c r="BZ9" s="155">
        <v>1300</v>
      </c>
      <c r="CA9" s="156">
        <v>1435</v>
      </c>
    </row>
    <row r="10" spans="1:79" x14ac:dyDescent="0.25">
      <c r="A10" s="150" t="s">
        <v>87</v>
      </c>
      <c r="B10" s="496">
        <v>63300</v>
      </c>
      <c r="C10" s="151">
        <v>443</v>
      </c>
      <c r="D10" s="147">
        <v>475</v>
      </c>
      <c r="E10" s="147">
        <v>570</v>
      </c>
      <c r="F10" s="147">
        <v>658</v>
      </c>
      <c r="G10" s="152">
        <v>734</v>
      </c>
      <c r="H10" s="151">
        <v>665</v>
      </c>
      <c r="I10" s="147">
        <v>712</v>
      </c>
      <c r="J10" s="147">
        <v>855</v>
      </c>
      <c r="K10" s="147">
        <v>987</v>
      </c>
      <c r="L10" s="147">
        <v>1101</v>
      </c>
      <c r="M10" s="151">
        <v>887</v>
      </c>
      <c r="N10" s="147">
        <v>950</v>
      </c>
      <c r="O10" s="147">
        <v>1140</v>
      </c>
      <c r="P10" s="147">
        <v>1317</v>
      </c>
      <c r="Q10" s="152">
        <v>1469</v>
      </c>
      <c r="R10" s="151">
        <v>1108</v>
      </c>
      <c r="S10" s="147">
        <v>1187</v>
      </c>
      <c r="T10" s="147">
        <v>1425</v>
      </c>
      <c r="U10" s="147">
        <v>1646</v>
      </c>
      <c r="V10" s="147">
        <v>1836</v>
      </c>
      <c r="W10" s="151">
        <v>1330</v>
      </c>
      <c r="X10" s="147">
        <v>1425</v>
      </c>
      <c r="Y10" s="147">
        <v>1710</v>
      </c>
      <c r="Z10" s="147">
        <v>1975</v>
      </c>
      <c r="AA10" s="152">
        <v>2203</v>
      </c>
      <c r="AB10" s="151">
        <v>1552</v>
      </c>
      <c r="AC10" s="147">
        <v>1662</v>
      </c>
      <c r="AD10" s="147">
        <v>1995</v>
      </c>
      <c r="AE10" s="147">
        <v>2304</v>
      </c>
      <c r="AF10" s="152">
        <v>2570</v>
      </c>
      <c r="AG10" s="151">
        <v>1774</v>
      </c>
      <c r="AH10" s="147">
        <v>1900</v>
      </c>
      <c r="AI10" s="147">
        <v>2280</v>
      </c>
      <c r="AJ10" s="147">
        <v>2634</v>
      </c>
      <c r="AK10" s="152">
        <v>2938</v>
      </c>
      <c r="AM10" s="151">
        <v>665</v>
      </c>
      <c r="AN10" s="147">
        <v>712</v>
      </c>
      <c r="AO10" s="147">
        <v>855</v>
      </c>
      <c r="AP10" s="147">
        <v>988</v>
      </c>
      <c r="AQ10" s="152">
        <v>1102</v>
      </c>
      <c r="AS10" s="151">
        <v>665</v>
      </c>
      <c r="AT10" s="147">
        <v>712</v>
      </c>
      <c r="AU10" s="147">
        <v>855</v>
      </c>
      <c r="AV10" s="147">
        <v>987</v>
      </c>
      <c r="AW10" s="152">
        <v>1101</v>
      </c>
      <c r="AX10" s="151">
        <v>1108</v>
      </c>
      <c r="AY10" s="147">
        <v>1187</v>
      </c>
      <c r="AZ10" s="147">
        <v>1425</v>
      </c>
      <c r="BA10" s="147">
        <v>1646</v>
      </c>
      <c r="BB10" s="152">
        <v>1836</v>
      </c>
      <c r="BC10" s="151">
        <v>1774</v>
      </c>
      <c r="BD10" s="147">
        <v>1900</v>
      </c>
      <c r="BE10" s="147">
        <v>2280</v>
      </c>
      <c r="BF10" s="147">
        <v>2634</v>
      </c>
      <c r="BG10" s="152">
        <v>2938</v>
      </c>
      <c r="BI10" s="151">
        <v>703</v>
      </c>
      <c r="BJ10" s="147">
        <v>707</v>
      </c>
      <c r="BK10" s="147">
        <v>928</v>
      </c>
      <c r="BL10" s="147">
        <v>1118</v>
      </c>
      <c r="BM10" s="152">
        <v>1558</v>
      </c>
      <c r="BO10" s="150" t="s">
        <v>87</v>
      </c>
      <c r="BP10" s="151">
        <v>703</v>
      </c>
      <c r="BQ10" s="147">
        <v>707</v>
      </c>
      <c r="BR10" s="147">
        <v>928</v>
      </c>
      <c r="BS10" s="147">
        <v>1118</v>
      </c>
      <c r="BT10" s="152">
        <v>1558</v>
      </c>
      <c r="BV10" s="150" t="s">
        <v>87</v>
      </c>
      <c r="BW10" s="151">
        <v>703</v>
      </c>
      <c r="BX10" s="147">
        <v>707</v>
      </c>
      <c r="BY10" s="147">
        <v>928</v>
      </c>
      <c r="BZ10" s="147">
        <v>1118</v>
      </c>
      <c r="CA10" s="152">
        <v>1558</v>
      </c>
    </row>
    <row r="11" spans="1:79" s="157" customFormat="1" x14ac:dyDescent="0.25">
      <c r="A11" s="153" t="s">
        <v>88</v>
      </c>
      <c r="B11" s="497">
        <v>59250</v>
      </c>
      <c r="C11" s="154">
        <v>415</v>
      </c>
      <c r="D11" s="155">
        <v>444</v>
      </c>
      <c r="E11" s="155">
        <v>533</v>
      </c>
      <c r="F11" s="155">
        <v>616</v>
      </c>
      <c r="G11" s="156">
        <v>687</v>
      </c>
      <c r="H11" s="154">
        <v>622</v>
      </c>
      <c r="I11" s="155">
        <v>666</v>
      </c>
      <c r="J11" s="155">
        <v>800</v>
      </c>
      <c r="K11" s="155">
        <v>924</v>
      </c>
      <c r="L11" s="155">
        <v>1031</v>
      </c>
      <c r="M11" s="154">
        <v>830</v>
      </c>
      <c r="N11" s="155">
        <v>889</v>
      </c>
      <c r="O11" s="155">
        <v>1067</v>
      </c>
      <c r="P11" s="155">
        <v>1232</v>
      </c>
      <c r="Q11" s="156">
        <v>1375</v>
      </c>
      <c r="R11" s="154">
        <v>1037</v>
      </c>
      <c r="S11" s="155">
        <v>1111</v>
      </c>
      <c r="T11" s="155">
        <v>1333</v>
      </c>
      <c r="U11" s="155">
        <v>1540</v>
      </c>
      <c r="V11" s="155">
        <v>1718</v>
      </c>
      <c r="W11" s="154">
        <v>1245</v>
      </c>
      <c r="X11" s="155">
        <v>1333</v>
      </c>
      <c r="Y11" s="155">
        <v>1600</v>
      </c>
      <c r="Z11" s="155">
        <v>1848</v>
      </c>
      <c r="AA11" s="156">
        <v>2062</v>
      </c>
      <c r="AB11" s="154">
        <v>1452</v>
      </c>
      <c r="AC11" s="155">
        <v>1555</v>
      </c>
      <c r="AD11" s="155">
        <v>1867</v>
      </c>
      <c r="AE11" s="155">
        <v>2156</v>
      </c>
      <c r="AF11" s="156">
        <v>2406</v>
      </c>
      <c r="AG11" s="154">
        <v>1660</v>
      </c>
      <c r="AH11" s="155">
        <v>1778</v>
      </c>
      <c r="AI11" s="155">
        <v>2134</v>
      </c>
      <c r="AJ11" s="155">
        <v>2465</v>
      </c>
      <c r="AK11" s="156">
        <v>2750</v>
      </c>
      <c r="AL11"/>
      <c r="AM11" s="154">
        <v>622</v>
      </c>
      <c r="AN11" s="155">
        <v>666</v>
      </c>
      <c r="AO11" s="155">
        <v>800</v>
      </c>
      <c r="AP11" s="155">
        <v>924</v>
      </c>
      <c r="AQ11" s="156">
        <v>1078</v>
      </c>
      <c r="AR11"/>
      <c r="AS11" s="154">
        <v>673</v>
      </c>
      <c r="AT11" s="155">
        <v>721</v>
      </c>
      <c r="AU11" s="155">
        <v>865</v>
      </c>
      <c r="AV11" s="155">
        <v>1000</v>
      </c>
      <c r="AW11" s="156">
        <v>1116</v>
      </c>
      <c r="AX11" s="154">
        <v>1122</v>
      </c>
      <c r="AY11" s="155">
        <v>1202</v>
      </c>
      <c r="AZ11" s="155">
        <v>1442</v>
      </c>
      <c r="BA11" s="155">
        <v>1666</v>
      </c>
      <c r="BB11" s="156">
        <v>1860</v>
      </c>
      <c r="BC11" s="154">
        <v>1796</v>
      </c>
      <c r="BD11" s="155">
        <v>1924</v>
      </c>
      <c r="BE11" s="155">
        <v>2308</v>
      </c>
      <c r="BF11" s="155">
        <v>2667</v>
      </c>
      <c r="BG11" s="156">
        <v>2976</v>
      </c>
      <c r="BH11"/>
      <c r="BI11" s="154">
        <v>828</v>
      </c>
      <c r="BJ11" s="155">
        <v>917</v>
      </c>
      <c r="BK11" s="155">
        <v>1023</v>
      </c>
      <c r="BL11" s="155">
        <v>1433</v>
      </c>
      <c r="BM11" s="156">
        <v>1718</v>
      </c>
      <c r="BN11"/>
      <c r="BO11" s="153" t="s">
        <v>88</v>
      </c>
      <c r="BP11" s="154">
        <v>828</v>
      </c>
      <c r="BQ11" s="155">
        <v>917</v>
      </c>
      <c r="BR11" s="155">
        <v>1023</v>
      </c>
      <c r="BS11" s="155">
        <v>1433</v>
      </c>
      <c r="BT11" s="156">
        <v>1718</v>
      </c>
      <c r="BU11"/>
      <c r="BV11" s="153" t="s">
        <v>88</v>
      </c>
      <c r="BW11" s="154">
        <v>828</v>
      </c>
      <c r="BX11" s="155">
        <v>917</v>
      </c>
      <c r="BY11" s="155">
        <v>1023</v>
      </c>
      <c r="BZ11" s="155">
        <v>1433</v>
      </c>
      <c r="CA11" s="156">
        <v>1718</v>
      </c>
    </row>
    <row r="12" spans="1:79" x14ac:dyDescent="0.25">
      <c r="A12" s="150" t="s">
        <v>89</v>
      </c>
      <c r="B12" s="496">
        <v>57800</v>
      </c>
      <c r="C12" s="151">
        <v>405</v>
      </c>
      <c r="D12" s="147">
        <v>433</v>
      </c>
      <c r="E12" s="147">
        <v>520</v>
      </c>
      <c r="F12" s="147">
        <v>601</v>
      </c>
      <c r="G12" s="152">
        <v>670</v>
      </c>
      <c r="H12" s="151">
        <v>607</v>
      </c>
      <c r="I12" s="147">
        <v>650</v>
      </c>
      <c r="J12" s="147">
        <v>780</v>
      </c>
      <c r="K12" s="147">
        <v>901</v>
      </c>
      <c r="L12" s="147">
        <v>1005</v>
      </c>
      <c r="M12" s="151">
        <v>810</v>
      </c>
      <c r="N12" s="147">
        <v>867</v>
      </c>
      <c r="O12" s="147">
        <v>1041</v>
      </c>
      <c r="P12" s="147">
        <v>1202</v>
      </c>
      <c r="Q12" s="152">
        <v>1341</v>
      </c>
      <c r="R12" s="151">
        <v>1012</v>
      </c>
      <c r="S12" s="147">
        <v>1084</v>
      </c>
      <c r="T12" s="147">
        <v>1301</v>
      </c>
      <c r="U12" s="147">
        <v>1503</v>
      </c>
      <c r="V12" s="147">
        <v>1676</v>
      </c>
      <c r="W12" s="151">
        <v>1215</v>
      </c>
      <c r="X12" s="147">
        <v>1301</v>
      </c>
      <c r="Y12" s="147">
        <v>1561</v>
      </c>
      <c r="Z12" s="147">
        <v>1803</v>
      </c>
      <c r="AA12" s="152">
        <v>2011</v>
      </c>
      <c r="AB12" s="151">
        <v>1417</v>
      </c>
      <c r="AC12" s="147">
        <v>1518</v>
      </c>
      <c r="AD12" s="147">
        <v>1821</v>
      </c>
      <c r="AE12" s="147">
        <v>2104</v>
      </c>
      <c r="AF12" s="152">
        <v>2346</v>
      </c>
      <c r="AG12" s="151">
        <v>1620</v>
      </c>
      <c r="AH12" s="147">
        <v>1735</v>
      </c>
      <c r="AI12" s="147">
        <v>2082</v>
      </c>
      <c r="AJ12" s="147">
        <v>2405</v>
      </c>
      <c r="AK12" s="152">
        <v>2682</v>
      </c>
      <c r="AM12" s="151">
        <v>607</v>
      </c>
      <c r="AN12" s="147">
        <v>651</v>
      </c>
      <c r="AO12" s="147">
        <v>781</v>
      </c>
      <c r="AP12" s="147">
        <v>902</v>
      </c>
      <c r="AQ12" s="152">
        <v>1078</v>
      </c>
      <c r="AS12" s="151">
        <v>617</v>
      </c>
      <c r="AT12" s="147">
        <v>661</v>
      </c>
      <c r="AU12" s="147">
        <v>793</v>
      </c>
      <c r="AV12" s="147">
        <v>916</v>
      </c>
      <c r="AW12" s="152">
        <v>1078</v>
      </c>
      <c r="AX12" s="151">
        <v>1028</v>
      </c>
      <c r="AY12" s="147">
        <v>1101</v>
      </c>
      <c r="AZ12" s="147">
        <v>1322</v>
      </c>
      <c r="BA12" s="147">
        <v>1527</v>
      </c>
      <c r="BB12" s="152">
        <v>1703</v>
      </c>
      <c r="BC12" s="151">
        <v>1646</v>
      </c>
      <c r="BD12" s="147">
        <v>1763</v>
      </c>
      <c r="BE12" s="147">
        <v>2116</v>
      </c>
      <c r="BF12" s="147">
        <v>2444</v>
      </c>
      <c r="BG12" s="152">
        <v>2726</v>
      </c>
      <c r="BI12" s="151">
        <v>694</v>
      </c>
      <c r="BJ12" s="147">
        <v>836</v>
      </c>
      <c r="BK12" s="147">
        <v>1012</v>
      </c>
      <c r="BL12" s="147">
        <v>1418</v>
      </c>
      <c r="BM12" s="152">
        <v>1699</v>
      </c>
      <c r="BO12" s="150" t="s">
        <v>89</v>
      </c>
      <c r="BP12" s="151">
        <v>694</v>
      </c>
      <c r="BQ12" s="147">
        <v>836</v>
      </c>
      <c r="BR12" s="147">
        <v>1012</v>
      </c>
      <c r="BS12" s="147">
        <v>1418</v>
      </c>
      <c r="BT12" s="152">
        <v>1676</v>
      </c>
      <c r="BV12" s="150" t="s">
        <v>89</v>
      </c>
      <c r="BW12" s="151">
        <v>694</v>
      </c>
      <c r="BX12" s="147">
        <v>836</v>
      </c>
      <c r="BY12" s="147">
        <v>1012</v>
      </c>
      <c r="BZ12" s="147">
        <v>1418</v>
      </c>
      <c r="CA12" s="152">
        <v>1699</v>
      </c>
    </row>
    <row r="13" spans="1:79" s="157" customFormat="1" x14ac:dyDescent="0.25">
      <c r="A13" s="153" t="s">
        <v>90</v>
      </c>
      <c r="B13" s="497">
        <v>52650</v>
      </c>
      <c r="C13" s="154">
        <v>369</v>
      </c>
      <c r="D13" s="155">
        <v>395</v>
      </c>
      <c r="E13" s="155">
        <v>474</v>
      </c>
      <c r="F13" s="155">
        <v>547</v>
      </c>
      <c r="G13" s="156">
        <v>611</v>
      </c>
      <c r="H13" s="154">
        <v>553</v>
      </c>
      <c r="I13" s="155">
        <v>592</v>
      </c>
      <c r="J13" s="155">
        <v>711</v>
      </c>
      <c r="K13" s="155">
        <v>821</v>
      </c>
      <c r="L13" s="155">
        <v>916</v>
      </c>
      <c r="M13" s="154">
        <v>738</v>
      </c>
      <c r="N13" s="155">
        <v>790</v>
      </c>
      <c r="O13" s="155">
        <v>948</v>
      </c>
      <c r="P13" s="155">
        <v>1095</v>
      </c>
      <c r="Q13" s="156">
        <v>1222</v>
      </c>
      <c r="R13" s="154">
        <v>922</v>
      </c>
      <c r="S13" s="155">
        <v>988</v>
      </c>
      <c r="T13" s="155">
        <v>1185</v>
      </c>
      <c r="U13" s="155">
        <v>1369</v>
      </c>
      <c r="V13" s="155">
        <v>1527</v>
      </c>
      <c r="W13" s="154">
        <v>1107</v>
      </c>
      <c r="X13" s="155">
        <v>1185</v>
      </c>
      <c r="Y13" s="155">
        <v>1422</v>
      </c>
      <c r="Z13" s="155">
        <v>1643</v>
      </c>
      <c r="AA13" s="156">
        <v>1833</v>
      </c>
      <c r="AB13" s="154">
        <v>1291</v>
      </c>
      <c r="AC13" s="155">
        <v>1383</v>
      </c>
      <c r="AD13" s="155">
        <v>1659</v>
      </c>
      <c r="AE13" s="155">
        <v>1917</v>
      </c>
      <c r="AF13" s="156">
        <v>2138</v>
      </c>
      <c r="AG13" s="154">
        <v>1476</v>
      </c>
      <c r="AH13" s="155">
        <v>1581</v>
      </c>
      <c r="AI13" s="155">
        <v>1896</v>
      </c>
      <c r="AJ13" s="155">
        <v>2191</v>
      </c>
      <c r="AK13" s="156">
        <v>2444</v>
      </c>
      <c r="AL13"/>
      <c r="AM13" s="154">
        <v>553</v>
      </c>
      <c r="AN13" s="155">
        <v>593</v>
      </c>
      <c r="AO13" s="155">
        <v>711</v>
      </c>
      <c r="AP13" s="155">
        <v>872</v>
      </c>
      <c r="AQ13" s="156">
        <v>1078</v>
      </c>
      <c r="AR13"/>
      <c r="AS13" s="154">
        <v>553</v>
      </c>
      <c r="AT13" s="155">
        <v>592</v>
      </c>
      <c r="AU13" s="155">
        <v>711</v>
      </c>
      <c r="AV13" s="155">
        <v>872</v>
      </c>
      <c r="AW13" s="156">
        <v>1078</v>
      </c>
      <c r="AX13" s="154">
        <v>922</v>
      </c>
      <c r="AY13" s="155">
        <v>988</v>
      </c>
      <c r="AZ13" s="155">
        <v>1185</v>
      </c>
      <c r="BA13" s="155">
        <v>1369</v>
      </c>
      <c r="BB13" s="156">
        <v>1527</v>
      </c>
      <c r="BC13" s="154">
        <v>1476</v>
      </c>
      <c r="BD13" s="155">
        <v>1581</v>
      </c>
      <c r="BE13" s="155">
        <v>1896</v>
      </c>
      <c r="BF13" s="155">
        <v>2191</v>
      </c>
      <c r="BG13" s="156">
        <v>2444</v>
      </c>
      <c r="BH13"/>
      <c r="BI13" s="154">
        <v>753</v>
      </c>
      <c r="BJ13" s="155">
        <v>758</v>
      </c>
      <c r="BK13" s="155">
        <v>928</v>
      </c>
      <c r="BL13" s="155">
        <v>1300</v>
      </c>
      <c r="BM13" s="156">
        <v>1558</v>
      </c>
      <c r="BN13"/>
      <c r="BO13" s="153" t="s">
        <v>90</v>
      </c>
      <c r="BP13" s="154">
        <v>753</v>
      </c>
      <c r="BQ13" s="155">
        <v>758</v>
      </c>
      <c r="BR13" s="155">
        <v>928</v>
      </c>
      <c r="BS13" s="155">
        <v>1300</v>
      </c>
      <c r="BT13" s="156">
        <v>1527</v>
      </c>
      <c r="BU13"/>
      <c r="BV13" s="153" t="s">
        <v>90</v>
      </c>
      <c r="BW13" s="154">
        <v>753</v>
      </c>
      <c r="BX13" s="155">
        <v>758</v>
      </c>
      <c r="BY13" s="155">
        <v>928</v>
      </c>
      <c r="BZ13" s="155">
        <v>1300</v>
      </c>
      <c r="CA13" s="156">
        <v>1558</v>
      </c>
    </row>
    <row r="14" spans="1:79" x14ac:dyDescent="0.25">
      <c r="A14" s="150" t="s">
        <v>91</v>
      </c>
      <c r="B14" s="496">
        <v>52200</v>
      </c>
      <c r="C14" s="151">
        <v>365</v>
      </c>
      <c r="D14" s="147">
        <v>391</v>
      </c>
      <c r="E14" s="147">
        <v>470</v>
      </c>
      <c r="F14" s="147">
        <v>543</v>
      </c>
      <c r="G14" s="152">
        <v>605</v>
      </c>
      <c r="H14" s="151">
        <v>548</v>
      </c>
      <c r="I14" s="147">
        <v>587</v>
      </c>
      <c r="J14" s="147">
        <v>705</v>
      </c>
      <c r="K14" s="147">
        <v>814</v>
      </c>
      <c r="L14" s="147">
        <v>909</v>
      </c>
      <c r="M14" s="151">
        <v>731</v>
      </c>
      <c r="N14" s="147">
        <v>783</v>
      </c>
      <c r="O14" s="147">
        <v>940</v>
      </c>
      <c r="P14" s="147">
        <v>1086</v>
      </c>
      <c r="Q14" s="152">
        <v>1212</v>
      </c>
      <c r="R14" s="151">
        <v>913</v>
      </c>
      <c r="S14" s="147">
        <v>979</v>
      </c>
      <c r="T14" s="147">
        <v>1175</v>
      </c>
      <c r="U14" s="147">
        <v>1357</v>
      </c>
      <c r="V14" s="147">
        <v>1515</v>
      </c>
      <c r="W14" s="151">
        <v>1096</v>
      </c>
      <c r="X14" s="147">
        <v>1175</v>
      </c>
      <c r="Y14" s="147">
        <v>1410</v>
      </c>
      <c r="Z14" s="147">
        <v>1629</v>
      </c>
      <c r="AA14" s="152">
        <v>1818</v>
      </c>
      <c r="AB14" s="151">
        <v>1279</v>
      </c>
      <c r="AC14" s="147">
        <v>1371</v>
      </c>
      <c r="AD14" s="147">
        <v>1645</v>
      </c>
      <c r="AE14" s="147">
        <v>1900</v>
      </c>
      <c r="AF14" s="152">
        <v>2121</v>
      </c>
      <c r="AG14" s="151">
        <v>1462</v>
      </c>
      <c r="AH14" s="147">
        <v>1567</v>
      </c>
      <c r="AI14" s="147">
        <v>1880</v>
      </c>
      <c r="AJ14" s="147">
        <v>2172</v>
      </c>
      <c r="AK14" s="152">
        <v>2424</v>
      </c>
      <c r="AM14" s="151">
        <v>548</v>
      </c>
      <c r="AN14" s="147">
        <v>587</v>
      </c>
      <c r="AO14" s="147">
        <v>705</v>
      </c>
      <c r="AP14" s="147">
        <v>872</v>
      </c>
      <c r="AQ14" s="152">
        <v>1078</v>
      </c>
      <c r="AS14" s="151">
        <v>548</v>
      </c>
      <c r="AT14" s="147">
        <v>587</v>
      </c>
      <c r="AU14" s="147">
        <v>705</v>
      </c>
      <c r="AV14" s="147">
        <v>872</v>
      </c>
      <c r="AW14" s="152">
        <v>1078</v>
      </c>
      <c r="AX14" s="151">
        <v>913</v>
      </c>
      <c r="AY14" s="147">
        <v>979</v>
      </c>
      <c r="AZ14" s="147">
        <v>1175</v>
      </c>
      <c r="BA14" s="147">
        <v>1357</v>
      </c>
      <c r="BB14" s="152">
        <v>1515</v>
      </c>
      <c r="BC14" s="151">
        <v>1462</v>
      </c>
      <c r="BD14" s="147">
        <v>1567</v>
      </c>
      <c r="BE14" s="147">
        <v>1880</v>
      </c>
      <c r="BF14" s="147">
        <v>2172</v>
      </c>
      <c r="BG14" s="152">
        <v>2424</v>
      </c>
      <c r="BI14" s="151">
        <v>727</v>
      </c>
      <c r="BJ14" s="147">
        <v>732</v>
      </c>
      <c r="BK14" s="147">
        <v>928</v>
      </c>
      <c r="BL14" s="147">
        <v>1232</v>
      </c>
      <c r="BM14" s="152">
        <v>1558</v>
      </c>
      <c r="BO14" s="150" t="s">
        <v>91</v>
      </c>
      <c r="BP14" s="151">
        <v>727</v>
      </c>
      <c r="BQ14" s="147">
        <v>732</v>
      </c>
      <c r="BR14" s="147">
        <v>928</v>
      </c>
      <c r="BS14" s="147">
        <v>1232</v>
      </c>
      <c r="BT14" s="152">
        <v>1515</v>
      </c>
      <c r="BV14" s="150" t="s">
        <v>91</v>
      </c>
      <c r="BW14" s="151">
        <v>727</v>
      </c>
      <c r="BX14" s="147">
        <v>732</v>
      </c>
      <c r="BY14" s="147">
        <v>928</v>
      </c>
      <c r="BZ14" s="147">
        <v>1232</v>
      </c>
      <c r="CA14" s="152">
        <v>1558</v>
      </c>
    </row>
    <row r="15" spans="1:79" s="157" customFormat="1" x14ac:dyDescent="0.25">
      <c r="A15" s="153" t="s">
        <v>92</v>
      </c>
      <c r="B15" s="497">
        <v>59300</v>
      </c>
      <c r="C15" s="154">
        <v>415</v>
      </c>
      <c r="D15" s="155">
        <v>445</v>
      </c>
      <c r="E15" s="155">
        <v>534</v>
      </c>
      <c r="F15" s="155">
        <v>616</v>
      </c>
      <c r="G15" s="156">
        <v>688</v>
      </c>
      <c r="H15" s="154">
        <v>623</v>
      </c>
      <c r="I15" s="155">
        <v>667</v>
      </c>
      <c r="J15" s="155">
        <v>801</v>
      </c>
      <c r="K15" s="155">
        <v>925</v>
      </c>
      <c r="L15" s="155">
        <v>1032</v>
      </c>
      <c r="M15" s="154">
        <v>831</v>
      </c>
      <c r="N15" s="155">
        <v>890</v>
      </c>
      <c r="O15" s="155">
        <v>1068</v>
      </c>
      <c r="P15" s="155">
        <v>1233</v>
      </c>
      <c r="Q15" s="156">
        <v>1376</v>
      </c>
      <c r="R15" s="154">
        <v>1038</v>
      </c>
      <c r="S15" s="155">
        <v>1112</v>
      </c>
      <c r="T15" s="155">
        <v>1335</v>
      </c>
      <c r="U15" s="155">
        <v>1541</v>
      </c>
      <c r="V15" s="155">
        <v>1720</v>
      </c>
      <c r="W15" s="154">
        <v>1246</v>
      </c>
      <c r="X15" s="155">
        <v>1335</v>
      </c>
      <c r="Y15" s="155">
        <v>1602</v>
      </c>
      <c r="Z15" s="155">
        <v>1850</v>
      </c>
      <c r="AA15" s="156">
        <v>2064</v>
      </c>
      <c r="AB15" s="154">
        <v>1454</v>
      </c>
      <c r="AC15" s="155">
        <v>1557</v>
      </c>
      <c r="AD15" s="155">
        <v>1869</v>
      </c>
      <c r="AE15" s="155">
        <v>2158</v>
      </c>
      <c r="AF15" s="156">
        <v>2408</v>
      </c>
      <c r="AG15" s="154">
        <v>1662</v>
      </c>
      <c r="AH15" s="155">
        <v>1780</v>
      </c>
      <c r="AI15" s="155">
        <v>2136</v>
      </c>
      <c r="AJ15" s="155">
        <v>2467</v>
      </c>
      <c r="AK15" s="156">
        <v>2752</v>
      </c>
      <c r="AL15"/>
      <c r="AM15" s="154">
        <v>623</v>
      </c>
      <c r="AN15" s="155">
        <v>668</v>
      </c>
      <c r="AO15" s="155">
        <v>801</v>
      </c>
      <c r="AP15" s="155">
        <v>925</v>
      </c>
      <c r="AQ15" s="156">
        <v>1078</v>
      </c>
      <c r="AR15"/>
      <c r="AS15" s="154">
        <v>623</v>
      </c>
      <c r="AT15" s="155">
        <v>667</v>
      </c>
      <c r="AU15" s="155">
        <v>801</v>
      </c>
      <c r="AV15" s="155">
        <v>925</v>
      </c>
      <c r="AW15" s="156">
        <v>1078</v>
      </c>
      <c r="AX15" s="154">
        <v>1038</v>
      </c>
      <c r="AY15" s="155">
        <v>1112</v>
      </c>
      <c r="AZ15" s="155">
        <v>1335</v>
      </c>
      <c r="BA15" s="155">
        <v>1541</v>
      </c>
      <c r="BB15" s="156">
        <v>1720</v>
      </c>
      <c r="BC15" s="154">
        <v>1662</v>
      </c>
      <c r="BD15" s="155">
        <v>1780</v>
      </c>
      <c r="BE15" s="155">
        <v>2136</v>
      </c>
      <c r="BF15" s="155">
        <v>2467</v>
      </c>
      <c r="BG15" s="156">
        <v>2752</v>
      </c>
      <c r="BH15"/>
      <c r="BI15" s="154">
        <v>1151</v>
      </c>
      <c r="BJ15" s="155">
        <v>1159</v>
      </c>
      <c r="BK15" s="155">
        <v>1419</v>
      </c>
      <c r="BL15" s="155">
        <v>1710</v>
      </c>
      <c r="BM15" s="156">
        <v>2383</v>
      </c>
      <c r="BN15"/>
      <c r="BO15" s="153" t="s">
        <v>92</v>
      </c>
      <c r="BP15" s="154">
        <v>1038</v>
      </c>
      <c r="BQ15" s="155">
        <v>1112</v>
      </c>
      <c r="BR15" s="155">
        <v>1335</v>
      </c>
      <c r="BS15" s="155">
        <v>1541</v>
      </c>
      <c r="BT15" s="156">
        <v>1720</v>
      </c>
      <c r="BU15"/>
      <c r="BV15" s="153" t="s">
        <v>92</v>
      </c>
      <c r="BW15" s="154">
        <v>1151</v>
      </c>
      <c r="BX15" s="155">
        <v>1159</v>
      </c>
      <c r="BY15" s="155">
        <v>1419</v>
      </c>
      <c r="BZ15" s="155">
        <v>1710</v>
      </c>
      <c r="CA15" s="156">
        <v>2179</v>
      </c>
    </row>
    <row r="16" spans="1:79" x14ac:dyDescent="0.25">
      <c r="A16" s="150" t="s">
        <v>93</v>
      </c>
      <c r="B16" s="496">
        <v>68650</v>
      </c>
      <c r="C16" s="151">
        <v>481</v>
      </c>
      <c r="D16" s="147">
        <v>515</v>
      </c>
      <c r="E16" s="147">
        <v>618</v>
      </c>
      <c r="F16" s="147">
        <v>714</v>
      </c>
      <c r="G16" s="152">
        <v>796</v>
      </c>
      <c r="H16" s="151">
        <v>721</v>
      </c>
      <c r="I16" s="147">
        <v>772</v>
      </c>
      <c r="J16" s="147">
        <v>927</v>
      </c>
      <c r="K16" s="147">
        <v>1071</v>
      </c>
      <c r="L16" s="147">
        <v>1194</v>
      </c>
      <c r="M16" s="151">
        <v>962</v>
      </c>
      <c r="N16" s="147">
        <v>1030</v>
      </c>
      <c r="O16" s="147">
        <v>1236</v>
      </c>
      <c r="P16" s="147">
        <v>1428</v>
      </c>
      <c r="Q16" s="152">
        <v>1593</v>
      </c>
      <c r="R16" s="151">
        <v>1202</v>
      </c>
      <c r="S16" s="147">
        <v>1288</v>
      </c>
      <c r="T16" s="147">
        <v>1545</v>
      </c>
      <c r="U16" s="147">
        <v>1785</v>
      </c>
      <c r="V16" s="147">
        <v>1991</v>
      </c>
      <c r="W16" s="151">
        <v>1443</v>
      </c>
      <c r="X16" s="147">
        <v>1545</v>
      </c>
      <c r="Y16" s="147">
        <v>1854</v>
      </c>
      <c r="Z16" s="147">
        <v>2142</v>
      </c>
      <c r="AA16" s="152">
        <v>2389</v>
      </c>
      <c r="AB16" s="151">
        <v>1683</v>
      </c>
      <c r="AC16" s="147">
        <v>1803</v>
      </c>
      <c r="AD16" s="147">
        <v>2163</v>
      </c>
      <c r="AE16" s="147">
        <v>2499</v>
      </c>
      <c r="AF16" s="152">
        <v>2787</v>
      </c>
      <c r="AG16" s="151">
        <v>1924</v>
      </c>
      <c r="AH16" s="147">
        <v>2061</v>
      </c>
      <c r="AI16" s="147">
        <v>2472</v>
      </c>
      <c r="AJ16" s="147">
        <v>2856</v>
      </c>
      <c r="AK16" s="152">
        <v>3186</v>
      </c>
      <c r="AM16" s="151">
        <v>721</v>
      </c>
      <c r="AN16" s="147">
        <v>773</v>
      </c>
      <c r="AO16" s="147">
        <v>927</v>
      </c>
      <c r="AP16" s="147">
        <v>1071</v>
      </c>
      <c r="AQ16" s="152">
        <v>1195</v>
      </c>
      <c r="AS16" s="151">
        <v>724</v>
      </c>
      <c r="AT16" s="147">
        <v>776</v>
      </c>
      <c r="AU16" s="147">
        <v>931</v>
      </c>
      <c r="AV16" s="147">
        <v>1075</v>
      </c>
      <c r="AW16" s="152">
        <v>1200</v>
      </c>
      <c r="AX16" s="151">
        <v>1207</v>
      </c>
      <c r="AY16" s="147">
        <v>1293</v>
      </c>
      <c r="AZ16" s="147">
        <v>1552</v>
      </c>
      <c r="BA16" s="147">
        <v>1793</v>
      </c>
      <c r="BB16" s="152">
        <v>2000</v>
      </c>
      <c r="BC16" s="151">
        <v>1932</v>
      </c>
      <c r="BD16" s="147">
        <v>2070</v>
      </c>
      <c r="BE16" s="147">
        <v>2484</v>
      </c>
      <c r="BF16" s="147">
        <v>2869</v>
      </c>
      <c r="BG16" s="152">
        <v>3200</v>
      </c>
      <c r="BI16" s="151">
        <v>753</v>
      </c>
      <c r="BJ16" s="147">
        <v>758</v>
      </c>
      <c r="BK16" s="147">
        <v>952</v>
      </c>
      <c r="BL16" s="147">
        <v>1159</v>
      </c>
      <c r="BM16" s="152">
        <v>1593</v>
      </c>
      <c r="BO16" s="150" t="s">
        <v>93</v>
      </c>
      <c r="BP16" s="151">
        <v>753</v>
      </c>
      <c r="BQ16" s="147">
        <v>758</v>
      </c>
      <c r="BR16" s="147">
        <v>952</v>
      </c>
      <c r="BS16" s="147">
        <v>1159</v>
      </c>
      <c r="BT16" s="152">
        <v>1593</v>
      </c>
      <c r="BV16" s="150" t="s">
        <v>93</v>
      </c>
      <c r="BW16" s="151">
        <v>753</v>
      </c>
      <c r="BX16" s="147">
        <v>758</v>
      </c>
      <c r="BY16" s="147">
        <v>952</v>
      </c>
      <c r="BZ16" s="147">
        <v>1159</v>
      </c>
      <c r="CA16" s="152">
        <v>1593</v>
      </c>
    </row>
    <row r="17" spans="1:79" s="157" customFormat="1" x14ac:dyDescent="0.25">
      <c r="A17" s="153" t="s">
        <v>94</v>
      </c>
      <c r="B17" s="497">
        <v>52200</v>
      </c>
      <c r="C17" s="154">
        <v>365</v>
      </c>
      <c r="D17" s="155">
        <v>391</v>
      </c>
      <c r="E17" s="155">
        <v>470</v>
      </c>
      <c r="F17" s="155">
        <v>543</v>
      </c>
      <c r="G17" s="156">
        <v>605</v>
      </c>
      <c r="H17" s="154">
        <v>548</v>
      </c>
      <c r="I17" s="155">
        <v>587</v>
      </c>
      <c r="J17" s="155">
        <v>705</v>
      </c>
      <c r="K17" s="155">
        <v>814</v>
      </c>
      <c r="L17" s="155">
        <v>909</v>
      </c>
      <c r="M17" s="154">
        <v>731</v>
      </c>
      <c r="N17" s="155">
        <v>783</v>
      </c>
      <c r="O17" s="155">
        <v>940</v>
      </c>
      <c r="P17" s="155">
        <v>1086</v>
      </c>
      <c r="Q17" s="156">
        <v>1212</v>
      </c>
      <c r="R17" s="154">
        <v>913</v>
      </c>
      <c r="S17" s="155">
        <v>979</v>
      </c>
      <c r="T17" s="155">
        <v>1175</v>
      </c>
      <c r="U17" s="155">
        <v>1357</v>
      </c>
      <c r="V17" s="155">
        <v>1515</v>
      </c>
      <c r="W17" s="154">
        <v>1096</v>
      </c>
      <c r="X17" s="155">
        <v>1175</v>
      </c>
      <c r="Y17" s="155">
        <v>1410</v>
      </c>
      <c r="Z17" s="155">
        <v>1629</v>
      </c>
      <c r="AA17" s="156">
        <v>1818</v>
      </c>
      <c r="AB17" s="154">
        <v>1279</v>
      </c>
      <c r="AC17" s="155">
        <v>1371</v>
      </c>
      <c r="AD17" s="155">
        <v>1645</v>
      </c>
      <c r="AE17" s="155">
        <v>1900</v>
      </c>
      <c r="AF17" s="156">
        <v>2121</v>
      </c>
      <c r="AG17" s="154">
        <v>1462</v>
      </c>
      <c r="AH17" s="155">
        <v>1567</v>
      </c>
      <c r="AI17" s="155">
        <v>1880</v>
      </c>
      <c r="AJ17" s="155">
        <v>2172</v>
      </c>
      <c r="AK17" s="156">
        <v>2424</v>
      </c>
      <c r="AL17"/>
      <c r="AM17" s="154">
        <v>548</v>
      </c>
      <c r="AN17" s="155">
        <v>587</v>
      </c>
      <c r="AO17" s="155">
        <v>705</v>
      </c>
      <c r="AP17" s="155">
        <v>872</v>
      </c>
      <c r="AQ17" s="156">
        <v>1078</v>
      </c>
      <c r="AR17"/>
      <c r="AS17" s="154">
        <v>548</v>
      </c>
      <c r="AT17" s="155">
        <v>587</v>
      </c>
      <c r="AU17" s="155">
        <v>705</v>
      </c>
      <c r="AV17" s="155">
        <v>872</v>
      </c>
      <c r="AW17" s="156">
        <v>1078</v>
      </c>
      <c r="AX17" s="154">
        <v>913</v>
      </c>
      <c r="AY17" s="155">
        <v>979</v>
      </c>
      <c r="AZ17" s="155">
        <v>1175</v>
      </c>
      <c r="BA17" s="155">
        <v>1357</v>
      </c>
      <c r="BB17" s="156">
        <v>1515</v>
      </c>
      <c r="BC17" s="154">
        <v>1462</v>
      </c>
      <c r="BD17" s="155">
        <v>1567</v>
      </c>
      <c r="BE17" s="155">
        <v>1880</v>
      </c>
      <c r="BF17" s="155">
        <v>2172</v>
      </c>
      <c r="BG17" s="156">
        <v>2424</v>
      </c>
      <c r="BH17"/>
      <c r="BI17" s="154">
        <v>703</v>
      </c>
      <c r="BJ17" s="155">
        <v>707</v>
      </c>
      <c r="BK17" s="155">
        <v>928</v>
      </c>
      <c r="BL17" s="155">
        <v>1300</v>
      </c>
      <c r="BM17" s="156">
        <v>1558</v>
      </c>
      <c r="BN17"/>
      <c r="BO17" s="153" t="s">
        <v>94</v>
      </c>
      <c r="BP17" s="154">
        <v>703</v>
      </c>
      <c r="BQ17" s="155">
        <v>707</v>
      </c>
      <c r="BR17" s="155">
        <v>928</v>
      </c>
      <c r="BS17" s="155">
        <v>1300</v>
      </c>
      <c r="BT17" s="156">
        <v>1515</v>
      </c>
      <c r="BU17"/>
      <c r="BV17" s="153" t="s">
        <v>94</v>
      </c>
      <c r="BW17" s="154">
        <v>703</v>
      </c>
      <c r="BX17" s="155">
        <v>707</v>
      </c>
      <c r="BY17" s="155">
        <v>928</v>
      </c>
      <c r="BZ17" s="155">
        <v>1300</v>
      </c>
      <c r="CA17" s="156">
        <v>1558</v>
      </c>
    </row>
    <row r="18" spans="1:79" x14ac:dyDescent="0.25">
      <c r="A18" s="150" t="s">
        <v>95</v>
      </c>
      <c r="B18" s="496">
        <v>52200</v>
      </c>
      <c r="C18" s="151">
        <v>365</v>
      </c>
      <c r="D18" s="147">
        <v>391</v>
      </c>
      <c r="E18" s="147">
        <v>470</v>
      </c>
      <c r="F18" s="147">
        <v>543</v>
      </c>
      <c r="G18" s="152">
        <v>605</v>
      </c>
      <c r="H18" s="151">
        <v>548</v>
      </c>
      <c r="I18" s="147">
        <v>587</v>
      </c>
      <c r="J18" s="147">
        <v>705</v>
      </c>
      <c r="K18" s="147">
        <v>814</v>
      </c>
      <c r="L18" s="147">
        <v>909</v>
      </c>
      <c r="M18" s="151">
        <v>731</v>
      </c>
      <c r="N18" s="147">
        <v>783</v>
      </c>
      <c r="O18" s="147">
        <v>940</v>
      </c>
      <c r="P18" s="147">
        <v>1086</v>
      </c>
      <c r="Q18" s="152">
        <v>1212</v>
      </c>
      <c r="R18" s="151">
        <v>913</v>
      </c>
      <c r="S18" s="147">
        <v>979</v>
      </c>
      <c r="T18" s="147">
        <v>1175</v>
      </c>
      <c r="U18" s="147">
        <v>1357</v>
      </c>
      <c r="V18" s="147">
        <v>1515</v>
      </c>
      <c r="W18" s="151">
        <v>1096</v>
      </c>
      <c r="X18" s="147">
        <v>1175</v>
      </c>
      <c r="Y18" s="147">
        <v>1410</v>
      </c>
      <c r="Z18" s="147">
        <v>1629</v>
      </c>
      <c r="AA18" s="152">
        <v>1818</v>
      </c>
      <c r="AB18" s="151">
        <v>1279</v>
      </c>
      <c r="AC18" s="147">
        <v>1371</v>
      </c>
      <c r="AD18" s="147">
        <v>1645</v>
      </c>
      <c r="AE18" s="147">
        <v>1900</v>
      </c>
      <c r="AF18" s="152">
        <v>2121</v>
      </c>
      <c r="AG18" s="151">
        <v>1462</v>
      </c>
      <c r="AH18" s="147">
        <v>1567</v>
      </c>
      <c r="AI18" s="147">
        <v>1880</v>
      </c>
      <c r="AJ18" s="147">
        <v>2172</v>
      </c>
      <c r="AK18" s="152">
        <v>2424</v>
      </c>
      <c r="AM18" s="151">
        <v>548</v>
      </c>
      <c r="AN18" s="147">
        <v>587</v>
      </c>
      <c r="AO18" s="147">
        <v>705</v>
      </c>
      <c r="AP18" s="147">
        <v>872</v>
      </c>
      <c r="AQ18" s="152">
        <v>1078</v>
      </c>
      <c r="AS18" s="151">
        <v>548</v>
      </c>
      <c r="AT18" s="147">
        <v>587</v>
      </c>
      <c r="AU18" s="147">
        <v>705</v>
      </c>
      <c r="AV18" s="147">
        <v>872</v>
      </c>
      <c r="AW18" s="152">
        <v>1078</v>
      </c>
      <c r="AX18" s="151">
        <v>913</v>
      </c>
      <c r="AY18" s="147">
        <v>979</v>
      </c>
      <c r="AZ18" s="147">
        <v>1175</v>
      </c>
      <c r="BA18" s="147">
        <v>1357</v>
      </c>
      <c r="BB18" s="152">
        <v>1515</v>
      </c>
      <c r="BC18" s="151">
        <v>1462</v>
      </c>
      <c r="BD18" s="147">
        <v>1567</v>
      </c>
      <c r="BE18" s="147">
        <v>1880</v>
      </c>
      <c r="BF18" s="147">
        <v>2172</v>
      </c>
      <c r="BG18" s="152">
        <v>2424</v>
      </c>
      <c r="BI18" s="151">
        <v>703</v>
      </c>
      <c r="BJ18" s="147">
        <v>707</v>
      </c>
      <c r="BK18" s="147">
        <v>928</v>
      </c>
      <c r="BL18" s="147">
        <v>1118</v>
      </c>
      <c r="BM18" s="152">
        <v>1558</v>
      </c>
      <c r="BO18" s="150" t="s">
        <v>95</v>
      </c>
      <c r="BP18" s="151">
        <v>703</v>
      </c>
      <c r="BQ18" s="147">
        <v>707</v>
      </c>
      <c r="BR18" s="147">
        <v>928</v>
      </c>
      <c r="BS18" s="147">
        <v>1118</v>
      </c>
      <c r="BT18" s="152">
        <v>1515</v>
      </c>
      <c r="BV18" s="150" t="s">
        <v>95</v>
      </c>
      <c r="BW18" s="151">
        <v>703</v>
      </c>
      <c r="BX18" s="147">
        <v>707</v>
      </c>
      <c r="BY18" s="147">
        <v>928</v>
      </c>
      <c r="BZ18" s="147">
        <v>1118</v>
      </c>
      <c r="CA18" s="152">
        <v>1558</v>
      </c>
    </row>
    <row r="19" spans="1:79" s="157" customFormat="1" x14ac:dyDescent="0.25">
      <c r="A19" s="153" t="s">
        <v>96</v>
      </c>
      <c r="B19" s="497">
        <v>60850</v>
      </c>
      <c r="C19" s="154">
        <v>426</v>
      </c>
      <c r="D19" s="155">
        <v>456</v>
      </c>
      <c r="E19" s="155">
        <v>548</v>
      </c>
      <c r="F19" s="155">
        <v>633</v>
      </c>
      <c r="G19" s="156">
        <v>706</v>
      </c>
      <c r="H19" s="154">
        <v>639</v>
      </c>
      <c r="I19" s="155">
        <v>684</v>
      </c>
      <c r="J19" s="155">
        <v>822</v>
      </c>
      <c r="K19" s="155">
        <v>949</v>
      </c>
      <c r="L19" s="155">
        <v>1059</v>
      </c>
      <c r="M19" s="154">
        <v>852</v>
      </c>
      <c r="N19" s="155">
        <v>913</v>
      </c>
      <c r="O19" s="155">
        <v>1096</v>
      </c>
      <c r="P19" s="155">
        <v>1266</v>
      </c>
      <c r="Q19" s="156">
        <v>1412</v>
      </c>
      <c r="R19" s="154">
        <v>1065</v>
      </c>
      <c r="S19" s="155">
        <v>1141</v>
      </c>
      <c r="T19" s="155">
        <v>1370</v>
      </c>
      <c r="U19" s="155">
        <v>1582</v>
      </c>
      <c r="V19" s="155">
        <v>1765</v>
      </c>
      <c r="W19" s="154">
        <v>1278</v>
      </c>
      <c r="X19" s="155">
        <v>1369</v>
      </c>
      <c r="Y19" s="155">
        <v>1644</v>
      </c>
      <c r="Z19" s="155">
        <v>1899</v>
      </c>
      <c r="AA19" s="156">
        <v>2118</v>
      </c>
      <c r="AB19" s="154">
        <v>1491</v>
      </c>
      <c r="AC19" s="155">
        <v>1597</v>
      </c>
      <c r="AD19" s="155">
        <v>1918</v>
      </c>
      <c r="AE19" s="155">
        <v>2215</v>
      </c>
      <c r="AF19" s="156">
        <v>2471</v>
      </c>
      <c r="AG19" s="154">
        <v>1704</v>
      </c>
      <c r="AH19" s="155">
        <v>1826</v>
      </c>
      <c r="AI19" s="155">
        <v>2192</v>
      </c>
      <c r="AJ19" s="155">
        <v>2532</v>
      </c>
      <c r="AK19" s="156">
        <v>2824</v>
      </c>
      <c r="AL19"/>
      <c r="AM19" s="154">
        <v>638</v>
      </c>
      <c r="AN19" s="155">
        <v>684</v>
      </c>
      <c r="AO19" s="155">
        <v>821</v>
      </c>
      <c r="AP19" s="155">
        <v>949</v>
      </c>
      <c r="AQ19" s="156">
        <v>1078</v>
      </c>
      <c r="AR19"/>
      <c r="AS19" s="154">
        <v>640</v>
      </c>
      <c r="AT19" s="155">
        <v>686</v>
      </c>
      <c r="AU19" s="155">
        <v>823</v>
      </c>
      <c r="AV19" s="155">
        <v>951</v>
      </c>
      <c r="AW19" s="156">
        <v>1078</v>
      </c>
      <c r="AX19" s="154">
        <v>1067</v>
      </c>
      <c r="AY19" s="155">
        <v>1143</v>
      </c>
      <c r="AZ19" s="155">
        <v>1372</v>
      </c>
      <c r="BA19" s="155">
        <v>1585</v>
      </c>
      <c r="BB19" s="156">
        <v>1768</v>
      </c>
      <c r="BC19" s="154">
        <v>1708</v>
      </c>
      <c r="BD19" s="155">
        <v>1830</v>
      </c>
      <c r="BE19" s="155">
        <v>2196</v>
      </c>
      <c r="BF19" s="155">
        <v>2536</v>
      </c>
      <c r="BG19" s="156">
        <v>2830</v>
      </c>
      <c r="BH19"/>
      <c r="BI19" s="154">
        <v>807</v>
      </c>
      <c r="BJ19" s="155">
        <v>838</v>
      </c>
      <c r="BK19" s="155">
        <v>928</v>
      </c>
      <c r="BL19" s="155">
        <v>1300</v>
      </c>
      <c r="BM19" s="156">
        <v>1558</v>
      </c>
      <c r="BN19"/>
      <c r="BO19" s="153" t="s">
        <v>96</v>
      </c>
      <c r="BP19" s="154">
        <v>807</v>
      </c>
      <c r="BQ19" s="155">
        <v>838</v>
      </c>
      <c r="BR19" s="155">
        <v>928</v>
      </c>
      <c r="BS19" s="155">
        <v>1300</v>
      </c>
      <c r="BT19" s="156">
        <v>1558</v>
      </c>
      <c r="BU19"/>
      <c r="BV19" s="153" t="s">
        <v>96</v>
      </c>
      <c r="BW19" s="154">
        <v>807</v>
      </c>
      <c r="BX19" s="155">
        <v>838</v>
      </c>
      <c r="BY19" s="155">
        <v>928</v>
      </c>
      <c r="BZ19" s="155">
        <v>1300</v>
      </c>
      <c r="CA19" s="156">
        <v>1558</v>
      </c>
    </row>
    <row r="20" spans="1:79" x14ac:dyDescent="0.25">
      <c r="A20" s="150" t="s">
        <v>97</v>
      </c>
      <c r="B20" s="496">
        <v>54150</v>
      </c>
      <c r="C20" s="151">
        <v>379</v>
      </c>
      <c r="D20" s="147">
        <v>406</v>
      </c>
      <c r="E20" s="147">
        <v>487</v>
      </c>
      <c r="F20" s="147">
        <v>563</v>
      </c>
      <c r="G20" s="152">
        <v>628</v>
      </c>
      <c r="H20" s="151">
        <v>569</v>
      </c>
      <c r="I20" s="147">
        <v>609</v>
      </c>
      <c r="J20" s="147">
        <v>731</v>
      </c>
      <c r="K20" s="147">
        <v>844</v>
      </c>
      <c r="L20" s="147">
        <v>942</v>
      </c>
      <c r="M20" s="151">
        <v>759</v>
      </c>
      <c r="N20" s="147">
        <v>813</v>
      </c>
      <c r="O20" s="147">
        <v>975</v>
      </c>
      <c r="P20" s="147">
        <v>1126</v>
      </c>
      <c r="Q20" s="152">
        <v>1257</v>
      </c>
      <c r="R20" s="151">
        <v>948</v>
      </c>
      <c r="S20" s="147">
        <v>1016</v>
      </c>
      <c r="T20" s="147">
        <v>1218</v>
      </c>
      <c r="U20" s="147">
        <v>1408</v>
      </c>
      <c r="V20" s="147">
        <v>1571</v>
      </c>
      <c r="W20" s="151">
        <v>1138</v>
      </c>
      <c r="X20" s="147">
        <v>1219</v>
      </c>
      <c r="Y20" s="147">
        <v>1462</v>
      </c>
      <c r="Z20" s="147">
        <v>1689</v>
      </c>
      <c r="AA20" s="152">
        <v>1885</v>
      </c>
      <c r="AB20" s="151">
        <v>1328</v>
      </c>
      <c r="AC20" s="147">
        <v>1422</v>
      </c>
      <c r="AD20" s="147">
        <v>1706</v>
      </c>
      <c r="AE20" s="147">
        <v>1971</v>
      </c>
      <c r="AF20" s="152">
        <v>2199</v>
      </c>
      <c r="AG20" s="151">
        <v>1518</v>
      </c>
      <c r="AH20" s="147">
        <v>1626</v>
      </c>
      <c r="AI20" s="147">
        <v>1950</v>
      </c>
      <c r="AJ20" s="147">
        <v>2253</v>
      </c>
      <c r="AK20" s="152">
        <v>2514</v>
      </c>
      <c r="AM20" s="151">
        <v>568</v>
      </c>
      <c r="AN20" s="147">
        <v>609</v>
      </c>
      <c r="AO20" s="147">
        <v>731</v>
      </c>
      <c r="AP20" s="147">
        <v>872</v>
      </c>
      <c r="AQ20" s="152">
        <v>1078</v>
      </c>
      <c r="AS20" s="151">
        <v>569</v>
      </c>
      <c r="AT20" s="147">
        <v>609</v>
      </c>
      <c r="AU20" s="147">
        <v>731</v>
      </c>
      <c r="AV20" s="147">
        <v>876</v>
      </c>
      <c r="AW20" s="152">
        <v>1078</v>
      </c>
      <c r="AX20" s="151">
        <v>948</v>
      </c>
      <c r="AY20" s="147">
        <v>1016</v>
      </c>
      <c r="AZ20" s="147">
        <v>1218</v>
      </c>
      <c r="BA20" s="147">
        <v>1408</v>
      </c>
      <c r="BB20" s="152">
        <v>1571</v>
      </c>
      <c r="BC20" s="151">
        <v>1518</v>
      </c>
      <c r="BD20" s="147">
        <v>1626</v>
      </c>
      <c r="BE20" s="147">
        <v>1950</v>
      </c>
      <c r="BF20" s="147">
        <v>2253</v>
      </c>
      <c r="BG20" s="152">
        <v>2514</v>
      </c>
      <c r="BI20" s="151">
        <v>756</v>
      </c>
      <c r="BJ20" s="147">
        <v>761</v>
      </c>
      <c r="BK20" s="147">
        <v>932</v>
      </c>
      <c r="BL20" s="147">
        <v>1123</v>
      </c>
      <c r="BM20" s="152">
        <v>1565</v>
      </c>
      <c r="BO20" s="150" t="s">
        <v>97</v>
      </c>
      <c r="BP20" s="151">
        <v>756</v>
      </c>
      <c r="BQ20" s="147">
        <v>761</v>
      </c>
      <c r="BR20" s="147">
        <v>932</v>
      </c>
      <c r="BS20" s="147">
        <v>1123</v>
      </c>
      <c r="BT20" s="152">
        <v>1565</v>
      </c>
      <c r="BV20" s="150" t="s">
        <v>97</v>
      </c>
      <c r="BW20" s="151">
        <v>756</v>
      </c>
      <c r="BX20" s="147">
        <v>761</v>
      </c>
      <c r="BY20" s="147">
        <v>932</v>
      </c>
      <c r="BZ20" s="147">
        <v>1123</v>
      </c>
      <c r="CA20" s="152">
        <v>1565</v>
      </c>
    </row>
    <row r="21" spans="1:79" s="157" customFormat="1" x14ac:dyDescent="0.25">
      <c r="A21" s="153" t="s">
        <v>98</v>
      </c>
      <c r="B21" s="497">
        <v>52200</v>
      </c>
      <c r="C21" s="154">
        <v>365</v>
      </c>
      <c r="D21" s="155">
        <v>391</v>
      </c>
      <c r="E21" s="155">
        <v>470</v>
      </c>
      <c r="F21" s="155">
        <v>543</v>
      </c>
      <c r="G21" s="156">
        <v>605</v>
      </c>
      <c r="H21" s="154">
        <v>548</v>
      </c>
      <c r="I21" s="155">
        <v>587</v>
      </c>
      <c r="J21" s="155">
        <v>705</v>
      </c>
      <c r="K21" s="155">
        <v>814</v>
      </c>
      <c r="L21" s="155">
        <v>909</v>
      </c>
      <c r="M21" s="154">
        <v>731</v>
      </c>
      <c r="N21" s="155">
        <v>783</v>
      </c>
      <c r="O21" s="155">
        <v>940</v>
      </c>
      <c r="P21" s="155">
        <v>1086</v>
      </c>
      <c r="Q21" s="156">
        <v>1212</v>
      </c>
      <c r="R21" s="154">
        <v>913</v>
      </c>
      <c r="S21" s="155">
        <v>979</v>
      </c>
      <c r="T21" s="155">
        <v>1175</v>
      </c>
      <c r="U21" s="155">
        <v>1357</v>
      </c>
      <c r="V21" s="155">
        <v>1515</v>
      </c>
      <c r="W21" s="154">
        <v>1096</v>
      </c>
      <c r="X21" s="155">
        <v>1175</v>
      </c>
      <c r="Y21" s="155">
        <v>1410</v>
      </c>
      <c r="Z21" s="155">
        <v>1629</v>
      </c>
      <c r="AA21" s="156">
        <v>1818</v>
      </c>
      <c r="AB21" s="154">
        <v>1279</v>
      </c>
      <c r="AC21" s="155">
        <v>1371</v>
      </c>
      <c r="AD21" s="155">
        <v>1645</v>
      </c>
      <c r="AE21" s="155">
        <v>1900</v>
      </c>
      <c r="AF21" s="156">
        <v>2121</v>
      </c>
      <c r="AG21" s="154">
        <v>1462</v>
      </c>
      <c r="AH21" s="155">
        <v>1567</v>
      </c>
      <c r="AI21" s="155">
        <v>1880</v>
      </c>
      <c r="AJ21" s="155">
        <v>2172</v>
      </c>
      <c r="AK21" s="156">
        <v>2424</v>
      </c>
      <c r="AL21"/>
      <c r="AM21" s="154">
        <v>548</v>
      </c>
      <c r="AN21" s="155">
        <v>587</v>
      </c>
      <c r="AO21" s="155">
        <v>705</v>
      </c>
      <c r="AP21" s="155">
        <v>872</v>
      </c>
      <c r="AQ21" s="156">
        <v>1078</v>
      </c>
      <c r="AR21"/>
      <c r="AS21" s="154">
        <v>548</v>
      </c>
      <c r="AT21" s="155">
        <v>587</v>
      </c>
      <c r="AU21" s="155">
        <v>705</v>
      </c>
      <c r="AV21" s="155">
        <v>872</v>
      </c>
      <c r="AW21" s="156">
        <v>1078</v>
      </c>
      <c r="AX21" s="154">
        <v>913</v>
      </c>
      <c r="AY21" s="155">
        <v>979</v>
      </c>
      <c r="AZ21" s="155">
        <v>1175</v>
      </c>
      <c r="BA21" s="155">
        <v>1357</v>
      </c>
      <c r="BB21" s="156">
        <v>1515</v>
      </c>
      <c r="BC21" s="154">
        <v>1462</v>
      </c>
      <c r="BD21" s="155">
        <v>1567</v>
      </c>
      <c r="BE21" s="155">
        <v>1880</v>
      </c>
      <c r="BF21" s="155">
        <v>2172</v>
      </c>
      <c r="BG21" s="156">
        <v>2424</v>
      </c>
      <c r="BH21"/>
      <c r="BI21" s="154">
        <v>777</v>
      </c>
      <c r="BJ21" s="155">
        <v>782</v>
      </c>
      <c r="BK21" s="155">
        <v>984</v>
      </c>
      <c r="BL21" s="155">
        <v>1379</v>
      </c>
      <c r="BM21" s="156">
        <v>1652</v>
      </c>
      <c r="BN21"/>
      <c r="BO21" s="153" t="s">
        <v>98</v>
      </c>
      <c r="BP21" s="154">
        <v>777</v>
      </c>
      <c r="BQ21" s="155">
        <v>782</v>
      </c>
      <c r="BR21" s="155">
        <v>984</v>
      </c>
      <c r="BS21" s="155">
        <v>1357</v>
      </c>
      <c r="BT21" s="156">
        <v>1515</v>
      </c>
      <c r="BU21"/>
      <c r="BV21" s="153" t="s">
        <v>98</v>
      </c>
      <c r="BW21" s="154">
        <v>777</v>
      </c>
      <c r="BX21" s="155">
        <v>782</v>
      </c>
      <c r="BY21" s="155">
        <v>984</v>
      </c>
      <c r="BZ21" s="155">
        <v>1379</v>
      </c>
      <c r="CA21" s="156">
        <v>1652</v>
      </c>
    </row>
    <row r="22" spans="1:79" x14ac:dyDescent="0.25">
      <c r="A22" s="150" t="s">
        <v>99</v>
      </c>
      <c r="B22" s="496">
        <v>52200</v>
      </c>
      <c r="C22" s="151">
        <v>365</v>
      </c>
      <c r="D22" s="147">
        <v>391</v>
      </c>
      <c r="E22" s="147">
        <v>470</v>
      </c>
      <c r="F22" s="147">
        <v>543</v>
      </c>
      <c r="G22" s="152">
        <v>605</v>
      </c>
      <c r="H22" s="151">
        <v>548</v>
      </c>
      <c r="I22" s="147">
        <v>587</v>
      </c>
      <c r="J22" s="147">
        <v>705</v>
      </c>
      <c r="K22" s="147">
        <v>814</v>
      </c>
      <c r="L22" s="147">
        <v>909</v>
      </c>
      <c r="M22" s="151">
        <v>731</v>
      </c>
      <c r="N22" s="147">
        <v>783</v>
      </c>
      <c r="O22" s="147">
        <v>940</v>
      </c>
      <c r="P22" s="147">
        <v>1086</v>
      </c>
      <c r="Q22" s="152">
        <v>1212</v>
      </c>
      <c r="R22" s="151">
        <v>913</v>
      </c>
      <c r="S22" s="147">
        <v>979</v>
      </c>
      <c r="T22" s="147">
        <v>1175</v>
      </c>
      <c r="U22" s="147">
        <v>1357</v>
      </c>
      <c r="V22" s="147">
        <v>1515</v>
      </c>
      <c r="W22" s="151">
        <v>1096</v>
      </c>
      <c r="X22" s="147">
        <v>1175</v>
      </c>
      <c r="Y22" s="147">
        <v>1410</v>
      </c>
      <c r="Z22" s="147">
        <v>1629</v>
      </c>
      <c r="AA22" s="152">
        <v>1818</v>
      </c>
      <c r="AB22" s="151">
        <v>1279</v>
      </c>
      <c r="AC22" s="147">
        <v>1371</v>
      </c>
      <c r="AD22" s="147">
        <v>1645</v>
      </c>
      <c r="AE22" s="147">
        <v>1900</v>
      </c>
      <c r="AF22" s="152">
        <v>2121</v>
      </c>
      <c r="AG22" s="151">
        <v>1462</v>
      </c>
      <c r="AH22" s="147">
        <v>1567</v>
      </c>
      <c r="AI22" s="147">
        <v>1880</v>
      </c>
      <c r="AJ22" s="147">
        <v>2172</v>
      </c>
      <c r="AK22" s="152">
        <v>2424</v>
      </c>
      <c r="AM22" s="151">
        <v>548</v>
      </c>
      <c r="AN22" s="147">
        <v>587</v>
      </c>
      <c r="AO22" s="147">
        <v>705</v>
      </c>
      <c r="AP22" s="147">
        <v>872</v>
      </c>
      <c r="AQ22" s="152">
        <v>1078</v>
      </c>
      <c r="AS22" s="151">
        <v>548</v>
      </c>
      <c r="AT22" s="147">
        <v>587</v>
      </c>
      <c r="AU22" s="147">
        <v>705</v>
      </c>
      <c r="AV22" s="147">
        <v>872</v>
      </c>
      <c r="AW22" s="152">
        <v>1078</v>
      </c>
      <c r="AX22" s="151">
        <v>913</v>
      </c>
      <c r="AY22" s="147">
        <v>979</v>
      </c>
      <c r="AZ22" s="147">
        <v>1175</v>
      </c>
      <c r="BA22" s="147">
        <v>1357</v>
      </c>
      <c r="BB22" s="152">
        <v>1515</v>
      </c>
      <c r="BC22" s="151">
        <v>1462</v>
      </c>
      <c r="BD22" s="147">
        <v>1567</v>
      </c>
      <c r="BE22" s="147">
        <v>1880</v>
      </c>
      <c r="BF22" s="147">
        <v>2172</v>
      </c>
      <c r="BG22" s="152">
        <v>2424</v>
      </c>
      <c r="BI22" s="151">
        <v>753</v>
      </c>
      <c r="BJ22" s="147">
        <v>758</v>
      </c>
      <c r="BK22" s="147">
        <v>928</v>
      </c>
      <c r="BL22" s="147">
        <v>1300</v>
      </c>
      <c r="BM22" s="152">
        <v>1558</v>
      </c>
      <c r="BO22" s="150" t="s">
        <v>99</v>
      </c>
      <c r="BP22" s="151">
        <v>753</v>
      </c>
      <c r="BQ22" s="147">
        <v>758</v>
      </c>
      <c r="BR22" s="147">
        <v>928</v>
      </c>
      <c r="BS22" s="147">
        <v>1300</v>
      </c>
      <c r="BT22" s="152">
        <v>1515</v>
      </c>
      <c r="BV22" s="150" t="s">
        <v>99</v>
      </c>
      <c r="BW22" s="151">
        <v>753</v>
      </c>
      <c r="BX22" s="147">
        <v>758</v>
      </c>
      <c r="BY22" s="147">
        <v>928</v>
      </c>
      <c r="BZ22" s="147">
        <v>1300</v>
      </c>
      <c r="CA22" s="152">
        <v>1558</v>
      </c>
    </row>
    <row r="23" spans="1:79" s="157" customFormat="1" x14ac:dyDescent="0.25">
      <c r="A23" s="153" t="s">
        <v>100</v>
      </c>
      <c r="B23" s="497">
        <v>52200</v>
      </c>
      <c r="C23" s="154">
        <v>365</v>
      </c>
      <c r="D23" s="155">
        <v>391</v>
      </c>
      <c r="E23" s="155">
        <v>470</v>
      </c>
      <c r="F23" s="155">
        <v>543</v>
      </c>
      <c r="G23" s="156">
        <v>605</v>
      </c>
      <c r="H23" s="154">
        <v>548</v>
      </c>
      <c r="I23" s="155">
        <v>587</v>
      </c>
      <c r="J23" s="155">
        <v>705</v>
      </c>
      <c r="K23" s="155">
        <v>814</v>
      </c>
      <c r="L23" s="155">
        <v>909</v>
      </c>
      <c r="M23" s="154">
        <v>731</v>
      </c>
      <c r="N23" s="155">
        <v>783</v>
      </c>
      <c r="O23" s="155">
        <v>940</v>
      </c>
      <c r="P23" s="155">
        <v>1086</v>
      </c>
      <c r="Q23" s="156">
        <v>1212</v>
      </c>
      <c r="R23" s="154">
        <v>913</v>
      </c>
      <c r="S23" s="155">
        <v>979</v>
      </c>
      <c r="T23" s="155">
        <v>1175</v>
      </c>
      <c r="U23" s="155">
        <v>1357</v>
      </c>
      <c r="V23" s="155">
        <v>1515</v>
      </c>
      <c r="W23" s="154">
        <v>1096</v>
      </c>
      <c r="X23" s="155">
        <v>1175</v>
      </c>
      <c r="Y23" s="155">
        <v>1410</v>
      </c>
      <c r="Z23" s="155">
        <v>1629</v>
      </c>
      <c r="AA23" s="156">
        <v>1818</v>
      </c>
      <c r="AB23" s="154">
        <v>1279</v>
      </c>
      <c r="AC23" s="155">
        <v>1371</v>
      </c>
      <c r="AD23" s="155">
        <v>1645</v>
      </c>
      <c r="AE23" s="155">
        <v>1900</v>
      </c>
      <c r="AF23" s="156">
        <v>2121</v>
      </c>
      <c r="AG23" s="154">
        <v>1462</v>
      </c>
      <c r="AH23" s="155">
        <v>1567</v>
      </c>
      <c r="AI23" s="155">
        <v>1880</v>
      </c>
      <c r="AJ23" s="155">
        <v>2172</v>
      </c>
      <c r="AK23" s="156">
        <v>2424</v>
      </c>
      <c r="AL23"/>
      <c r="AM23" s="154">
        <v>548</v>
      </c>
      <c r="AN23" s="155">
        <v>587</v>
      </c>
      <c r="AO23" s="155">
        <v>705</v>
      </c>
      <c r="AP23" s="155">
        <v>872</v>
      </c>
      <c r="AQ23" s="156">
        <v>1078</v>
      </c>
      <c r="AR23"/>
      <c r="AS23" s="154">
        <v>548</v>
      </c>
      <c r="AT23" s="155">
        <v>587</v>
      </c>
      <c r="AU23" s="155">
        <v>705</v>
      </c>
      <c r="AV23" s="155">
        <v>872</v>
      </c>
      <c r="AW23" s="156">
        <v>1078</v>
      </c>
      <c r="AX23" s="154">
        <v>913</v>
      </c>
      <c r="AY23" s="155">
        <v>979</v>
      </c>
      <c r="AZ23" s="155">
        <v>1175</v>
      </c>
      <c r="BA23" s="155">
        <v>1357</v>
      </c>
      <c r="BB23" s="156">
        <v>1515</v>
      </c>
      <c r="BC23" s="154">
        <v>1462</v>
      </c>
      <c r="BD23" s="155">
        <v>1567</v>
      </c>
      <c r="BE23" s="155">
        <v>1880</v>
      </c>
      <c r="BF23" s="155">
        <v>2172</v>
      </c>
      <c r="BG23" s="156">
        <v>2424</v>
      </c>
      <c r="BH23"/>
      <c r="BI23" s="154">
        <v>703</v>
      </c>
      <c r="BJ23" s="155">
        <v>707</v>
      </c>
      <c r="BK23" s="155">
        <v>928</v>
      </c>
      <c r="BL23" s="155">
        <v>1180</v>
      </c>
      <c r="BM23" s="156">
        <v>1558</v>
      </c>
      <c r="BN23"/>
      <c r="BO23" s="153" t="s">
        <v>100</v>
      </c>
      <c r="BP23" s="154">
        <v>703</v>
      </c>
      <c r="BQ23" s="155">
        <v>707</v>
      </c>
      <c r="BR23" s="155">
        <v>928</v>
      </c>
      <c r="BS23" s="155">
        <v>1180</v>
      </c>
      <c r="BT23" s="156">
        <v>1515</v>
      </c>
      <c r="BU23"/>
      <c r="BV23" s="153" t="s">
        <v>100</v>
      </c>
      <c r="BW23" s="154">
        <v>703</v>
      </c>
      <c r="BX23" s="155">
        <v>707</v>
      </c>
      <c r="BY23" s="155">
        <v>928</v>
      </c>
      <c r="BZ23" s="155">
        <v>1180</v>
      </c>
      <c r="CA23" s="156">
        <v>1558</v>
      </c>
    </row>
    <row r="24" spans="1:79" x14ac:dyDescent="0.25">
      <c r="A24" s="150" t="s">
        <v>101</v>
      </c>
      <c r="B24" s="496">
        <v>52450</v>
      </c>
      <c r="C24" s="151">
        <v>367</v>
      </c>
      <c r="D24" s="147">
        <v>393</v>
      </c>
      <c r="E24" s="147">
        <v>472</v>
      </c>
      <c r="F24" s="147">
        <v>545</v>
      </c>
      <c r="G24" s="152">
        <v>608</v>
      </c>
      <c r="H24" s="151">
        <v>551</v>
      </c>
      <c r="I24" s="147">
        <v>590</v>
      </c>
      <c r="J24" s="147">
        <v>708</v>
      </c>
      <c r="K24" s="147">
        <v>818</v>
      </c>
      <c r="L24" s="147">
        <v>912</v>
      </c>
      <c r="M24" s="151">
        <v>735</v>
      </c>
      <c r="N24" s="147">
        <v>787</v>
      </c>
      <c r="O24" s="147">
        <v>945</v>
      </c>
      <c r="P24" s="147">
        <v>1091</v>
      </c>
      <c r="Q24" s="152">
        <v>1217</v>
      </c>
      <c r="R24" s="151">
        <v>918</v>
      </c>
      <c r="S24" s="147">
        <v>984</v>
      </c>
      <c r="T24" s="147">
        <v>1181</v>
      </c>
      <c r="U24" s="147">
        <v>1363</v>
      </c>
      <c r="V24" s="147">
        <v>1521</v>
      </c>
      <c r="W24" s="151">
        <v>1102</v>
      </c>
      <c r="X24" s="147">
        <v>1181</v>
      </c>
      <c r="Y24" s="147">
        <v>1417</v>
      </c>
      <c r="Z24" s="147">
        <v>1636</v>
      </c>
      <c r="AA24" s="152">
        <v>1825</v>
      </c>
      <c r="AB24" s="151">
        <v>1286</v>
      </c>
      <c r="AC24" s="147">
        <v>1378</v>
      </c>
      <c r="AD24" s="147">
        <v>1653</v>
      </c>
      <c r="AE24" s="147">
        <v>1909</v>
      </c>
      <c r="AF24" s="152">
        <v>2129</v>
      </c>
      <c r="AG24" s="151">
        <v>1470</v>
      </c>
      <c r="AH24" s="147">
        <v>1575</v>
      </c>
      <c r="AI24" s="147">
        <v>1890</v>
      </c>
      <c r="AJ24" s="147">
        <v>2182</v>
      </c>
      <c r="AK24" s="152">
        <v>2434</v>
      </c>
      <c r="AM24" s="151">
        <v>551</v>
      </c>
      <c r="AN24" s="147">
        <v>590</v>
      </c>
      <c r="AO24" s="147">
        <v>708</v>
      </c>
      <c r="AP24" s="147">
        <v>872</v>
      </c>
      <c r="AQ24" s="152">
        <v>1078</v>
      </c>
      <c r="AS24" s="151">
        <v>551</v>
      </c>
      <c r="AT24" s="147">
        <v>590</v>
      </c>
      <c r="AU24" s="147">
        <v>708</v>
      </c>
      <c r="AV24" s="147">
        <v>872</v>
      </c>
      <c r="AW24" s="152">
        <v>1078</v>
      </c>
      <c r="AX24" s="151">
        <v>918</v>
      </c>
      <c r="AY24" s="147">
        <v>984</v>
      </c>
      <c r="AZ24" s="147">
        <v>1181</v>
      </c>
      <c r="BA24" s="147">
        <v>1363</v>
      </c>
      <c r="BB24" s="152">
        <v>1521</v>
      </c>
      <c r="BC24" s="151">
        <v>1470</v>
      </c>
      <c r="BD24" s="147">
        <v>1575</v>
      </c>
      <c r="BE24" s="147">
        <v>1890</v>
      </c>
      <c r="BF24" s="147">
        <v>2182</v>
      </c>
      <c r="BG24" s="152">
        <v>2434</v>
      </c>
      <c r="BI24" s="151">
        <v>753</v>
      </c>
      <c r="BJ24" s="147">
        <v>758</v>
      </c>
      <c r="BK24" s="147">
        <v>928</v>
      </c>
      <c r="BL24" s="147">
        <v>1151</v>
      </c>
      <c r="BM24" s="152">
        <v>1558</v>
      </c>
      <c r="BO24" s="150" t="s">
        <v>101</v>
      </c>
      <c r="BP24" s="151">
        <v>753</v>
      </c>
      <c r="BQ24" s="147">
        <v>758</v>
      </c>
      <c r="BR24" s="147">
        <v>928</v>
      </c>
      <c r="BS24" s="147">
        <v>1151</v>
      </c>
      <c r="BT24" s="152">
        <v>1521</v>
      </c>
      <c r="BV24" s="150" t="s">
        <v>101</v>
      </c>
      <c r="BW24" s="151">
        <v>753</v>
      </c>
      <c r="BX24" s="147">
        <v>758</v>
      </c>
      <c r="BY24" s="147">
        <v>928</v>
      </c>
      <c r="BZ24" s="147">
        <v>1151</v>
      </c>
      <c r="CA24" s="152">
        <v>1558</v>
      </c>
    </row>
    <row r="25" spans="1:79" s="157" customFormat="1" x14ac:dyDescent="0.25">
      <c r="A25" s="153" t="s">
        <v>102</v>
      </c>
      <c r="B25" s="497">
        <v>52200</v>
      </c>
      <c r="C25" s="154">
        <v>365</v>
      </c>
      <c r="D25" s="155">
        <v>391</v>
      </c>
      <c r="E25" s="155">
        <v>470</v>
      </c>
      <c r="F25" s="155">
        <v>543</v>
      </c>
      <c r="G25" s="156">
        <v>605</v>
      </c>
      <c r="H25" s="154">
        <v>548</v>
      </c>
      <c r="I25" s="155">
        <v>587</v>
      </c>
      <c r="J25" s="155">
        <v>705</v>
      </c>
      <c r="K25" s="155">
        <v>814</v>
      </c>
      <c r="L25" s="155">
        <v>909</v>
      </c>
      <c r="M25" s="154">
        <v>731</v>
      </c>
      <c r="N25" s="155">
        <v>783</v>
      </c>
      <c r="O25" s="155">
        <v>940</v>
      </c>
      <c r="P25" s="155">
        <v>1086</v>
      </c>
      <c r="Q25" s="156">
        <v>1212</v>
      </c>
      <c r="R25" s="154">
        <v>913</v>
      </c>
      <c r="S25" s="155">
        <v>979</v>
      </c>
      <c r="T25" s="155">
        <v>1175</v>
      </c>
      <c r="U25" s="155">
        <v>1357</v>
      </c>
      <c r="V25" s="155">
        <v>1515</v>
      </c>
      <c r="W25" s="154">
        <v>1096</v>
      </c>
      <c r="X25" s="155">
        <v>1175</v>
      </c>
      <c r="Y25" s="155">
        <v>1410</v>
      </c>
      <c r="Z25" s="155">
        <v>1629</v>
      </c>
      <c r="AA25" s="156">
        <v>1818</v>
      </c>
      <c r="AB25" s="154">
        <v>1279</v>
      </c>
      <c r="AC25" s="155">
        <v>1371</v>
      </c>
      <c r="AD25" s="155">
        <v>1645</v>
      </c>
      <c r="AE25" s="155">
        <v>1900</v>
      </c>
      <c r="AF25" s="156">
        <v>2121</v>
      </c>
      <c r="AG25" s="154">
        <v>1462</v>
      </c>
      <c r="AH25" s="155">
        <v>1567</v>
      </c>
      <c r="AI25" s="155">
        <v>1880</v>
      </c>
      <c r="AJ25" s="155">
        <v>2172</v>
      </c>
      <c r="AK25" s="156">
        <v>2424</v>
      </c>
      <c r="AL25"/>
      <c r="AM25" s="154">
        <v>548</v>
      </c>
      <c r="AN25" s="155">
        <v>587</v>
      </c>
      <c r="AO25" s="155">
        <v>705</v>
      </c>
      <c r="AP25" s="155">
        <v>872</v>
      </c>
      <c r="AQ25" s="156">
        <v>1078</v>
      </c>
      <c r="AR25"/>
      <c r="AS25" s="154">
        <v>548</v>
      </c>
      <c r="AT25" s="155">
        <v>587</v>
      </c>
      <c r="AU25" s="155">
        <v>705</v>
      </c>
      <c r="AV25" s="155">
        <v>872</v>
      </c>
      <c r="AW25" s="156">
        <v>1078</v>
      </c>
      <c r="AX25" s="154">
        <v>913</v>
      </c>
      <c r="AY25" s="155">
        <v>979</v>
      </c>
      <c r="AZ25" s="155">
        <v>1175</v>
      </c>
      <c r="BA25" s="155">
        <v>1357</v>
      </c>
      <c r="BB25" s="156">
        <v>1515</v>
      </c>
      <c r="BC25" s="154">
        <v>1462</v>
      </c>
      <c r="BD25" s="155">
        <v>1567</v>
      </c>
      <c r="BE25" s="155">
        <v>1880</v>
      </c>
      <c r="BF25" s="155">
        <v>2172</v>
      </c>
      <c r="BG25" s="156">
        <v>2424</v>
      </c>
      <c r="BH25"/>
      <c r="BI25" s="154">
        <v>807</v>
      </c>
      <c r="BJ25" s="155">
        <v>809</v>
      </c>
      <c r="BK25" s="155">
        <v>928</v>
      </c>
      <c r="BL25" s="155">
        <v>1300</v>
      </c>
      <c r="BM25" s="156">
        <v>1558</v>
      </c>
      <c r="BN25"/>
      <c r="BO25" s="153" t="s">
        <v>102</v>
      </c>
      <c r="BP25" s="154">
        <v>807</v>
      </c>
      <c r="BQ25" s="155">
        <v>809</v>
      </c>
      <c r="BR25" s="155">
        <v>928</v>
      </c>
      <c r="BS25" s="155">
        <v>1300</v>
      </c>
      <c r="BT25" s="156">
        <v>1515</v>
      </c>
      <c r="BU25"/>
      <c r="BV25" s="153" t="s">
        <v>102</v>
      </c>
      <c r="BW25" s="154">
        <v>807</v>
      </c>
      <c r="BX25" s="155">
        <v>809</v>
      </c>
      <c r="BY25" s="155">
        <v>928</v>
      </c>
      <c r="BZ25" s="155">
        <v>1300</v>
      </c>
      <c r="CA25" s="156">
        <v>1558</v>
      </c>
    </row>
    <row r="26" spans="1:79" x14ac:dyDescent="0.25">
      <c r="A26" s="150" t="s">
        <v>103</v>
      </c>
      <c r="B26" s="496">
        <v>52550</v>
      </c>
      <c r="C26" s="151">
        <v>368</v>
      </c>
      <c r="D26" s="147">
        <v>394</v>
      </c>
      <c r="E26" s="147">
        <v>473</v>
      </c>
      <c r="F26" s="147">
        <v>546</v>
      </c>
      <c r="G26" s="152">
        <v>610</v>
      </c>
      <c r="H26" s="151">
        <v>552</v>
      </c>
      <c r="I26" s="147">
        <v>591</v>
      </c>
      <c r="J26" s="147">
        <v>709</v>
      </c>
      <c r="K26" s="147">
        <v>820</v>
      </c>
      <c r="L26" s="147">
        <v>915</v>
      </c>
      <c r="M26" s="151">
        <v>736</v>
      </c>
      <c r="N26" s="147">
        <v>788</v>
      </c>
      <c r="O26" s="147">
        <v>946</v>
      </c>
      <c r="P26" s="147">
        <v>1093</v>
      </c>
      <c r="Q26" s="152">
        <v>1220</v>
      </c>
      <c r="R26" s="151">
        <v>920</v>
      </c>
      <c r="S26" s="147">
        <v>985</v>
      </c>
      <c r="T26" s="147">
        <v>1182</v>
      </c>
      <c r="U26" s="147">
        <v>1366</v>
      </c>
      <c r="V26" s="147">
        <v>1525</v>
      </c>
      <c r="W26" s="151">
        <v>1104</v>
      </c>
      <c r="X26" s="147">
        <v>1182</v>
      </c>
      <c r="Y26" s="147">
        <v>1419</v>
      </c>
      <c r="Z26" s="147">
        <v>1640</v>
      </c>
      <c r="AA26" s="152">
        <v>1830</v>
      </c>
      <c r="AB26" s="151">
        <v>1288</v>
      </c>
      <c r="AC26" s="147">
        <v>1379</v>
      </c>
      <c r="AD26" s="147">
        <v>1655</v>
      </c>
      <c r="AE26" s="147">
        <v>1913</v>
      </c>
      <c r="AF26" s="152">
        <v>2135</v>
      </c>
      <c r="AG26" s="151">
        <v>1472</v>
      </c>
      <c r="AH26" s="147">
        <v>1577</v>
      </c>
      <c r="AI26" s="147">
        <v>1892</v>
      </c>
      <c r="AJ26" s="147">
        <v>2187</v>
      </c>
      <c r="AK26" s="152">
        <v>2440</v>
      </c>
      <c r="AM26" s="151">
        <v>552</v>
      </c>
      <c r="AN26" s="147">
        <v>591</v>
      </c>
      <c r="AO26" s="147">
        <v>710</v>
      </c>
      <c r="AP26" s="147">
        <v>872</v>
      </c>
      <c r="AQ26" s="152">
        <v>1078</v>
      </c>
      <c r="AS26" s="151">
        <v>552</v>
      </c>
      <c r="AT26" s="147">
        <v>591</v>
      </c>
      <c r="AU26" s="147">
        <v>709</v>
      </c>
      <c r="AV26" s="147">
        <v>872</v>
      </c>
      <c r="AW26" s="152">
        <v>1078</v>
      </c>
      <c r="AX26" s="151">
        <v>920</v>
      </c>
      <c r="AY26" s="147">
        <v>985</v>
      </c>
      <c r="AZ26" s="147">
        <v>1182</v>
      </c>
      <c r="BA26" s="147">
        <v>1366</v>
      </c>
      <c r="BB26" s="152">
        <v>1525</v>
      </c>
      <c r="BC26" s="151">
        <v>1472</v>
      </c>
      <c r="BD26" s="147">
        <v>1577</v>
      </c>
      <c r="BE26" s="147">
        <v>1892</v>
      </c>
      <c r="BF26" s="147">
        <v>2187</v>
      </c>
      <c r="BG26" s="152">
        <v>2440</v>
      </c>
      <c r="BI26" s="151">
        <v>754</v>
      </c>
      <c r="BJ26" s="147">
        <v>759</v>
      </c>
      <c r="BK26" s="147">
        <v>928</v>
      </c>
      <c r="BL26" s="147">
        <v>1300</v>
      </c>
      <c r="BM26" s="152">
        <v>1558</v>
      </c>
      <c r="BO26" s="150" t="s">
        <v>103</v>
      </c>
      <c r="BP26" s="151">
        <v>754</v>
      </c>
      <c r="BQ26" s="147">
        <v>759</v>
      </c>
      <c r="BR26" s="147">
        <v>928</v>
      </c>
      <c r="BS26" s="147">
        <v>1300</v>
      </c>
      <c r="BT26" s="152">
        <v>1525</v>
      </c>
      <c r="BV26" s="150" t="s">
        <v>103</v>
      </c>
      <c r="BW26" s="151">
        <v>754</v>
      </c>
      <c r="BX26" s="147">
        <v>759</v>
      </c>
      <c r="BY26" s="147">
        <v>928</v>
      </c>
      <c r="BZ26" s="147">
        <v>1300</v>
      </c>
      <c r="CA26" s="152">
        <v>1558</v>
      </c>
    </row>
    <row r="27" spans="1:79" s="157" customFormat="1" x14ac:dyDescent="0.25">
      <c r="A27" s="153" t="s">
        <v>104</v>
      </c>
      <c r="B27" s="497">
        <v>52200</v>
      </c>
      <c r="C27" s="154">
        <v>365</v>
      </c>
      <c r="D27" s="155">
        <v>391</v>
      </c>
      <c r="E27" s="155">
        <v>470</v>
      </c>
      <c r="F27" s="155">
        <v>543</v>
      </c>
      <c r="G27" s="156">
        <v>605</v>
      </c>
      <c r="H27" s="154">
        <v>548</v>
      </c>
      <c r="I27" s="155">
        <v>587</v>
      </c>
      <c r="J27" s="155">
        <v>705</v>
      </c>
      <c r="K27" s="155">
        <v>814</v>
      </c>
      <c r="L27" s="155">
        <v>909</v>
      </c>
      <c r="M27" s="154">
        <v>731</v>
      </c>
      <c r="N27" s="155">
        <v>783</v>
      </c>
      <c r="O27" s="155">
        <v>940</v>
      </c>
      <c r="P27" s="155">
        <v>1086</v>
      </c>
      <c r="Q27" s="156">
        <v>1212</v>
      </c>
      <c r="R27" s="154">
        <v>913</v>
      </c>
      <c r="S27" s="155">
        <v>979</v>
      </c>
      <c r="T27" s="155">
        <v>1175</v>
      </c>
      <c r="U27" s="155">
        <v>1357</v>
      </c>
      <c r="V27" s="155">
        <v>1515</v>
      </c>
      <c r="W27" s="154">
        <v>1096</v>
      </c>
      <c r="X27" s="155">
        <v>1175</v>
      </c>
      <c r="Y27" s="155">
        <v>1410</v>
      </c>
      <c r="Z27" s="155">
        <v>1629</v>
      </c>
      <c r="AA27" s="156">
        <v>1818</v>
      </c>
      <c r="AB27" s="154">
        <v>1279</v>
      </c>
      <c r="AC27" s="155">
        <v>1371</v>
      </c>
      <c r="AD27" s="155">
        <v>1645</v>
      </c>
      <c r="AE27" s="155">
        <v>1900</v>
      </c>
      <c r="AF27" s="156">
        <v>2121</v>
      </c>
      <c r="AG27" s="154">
        <v>1462</v>
      </c>
      <c r="AH27" s="155">
        <v>1567</v>
      </c>
      <c r="AI27" s="155">
        <v>1880</v>
      </c>
      <c r="AJ27" s="155">
        <v>2172</v>
      </c>
      <c r="AK27" s="156">
        <v>2424</v>
      </c>
      <c r="AL27"/>
      <c r="AM27" s="154">
        <v>548</v>
      </c>
      <c r="AN27" s="155">
        <v>587</v>
      </c>
      <c r="AO27" s="155">
        <v>705</v>
      </c>
      <c r="AP27" s="155">
        <v>872</v>
      </c>
      <c r="AQ27" s="156">
        <v>1078</v>
      </c>
      <c r="AR27"/>
      <c r="AS27" s="154">
        <v>548</v>
      </c>
      <c r="AT27" s="155">
        <v>587</v>
      </c>
      <c r="AU27" s="155">
        <v>705</v>
      </c>
      <c r="AV27" s="155">
        <v>872</v>
      </c>
      <c r="AW27" s="156">
        <v>1078</v>
      </c>
      <c r="AX27" s="154">
        <v>913</v>
      </c>
      <c r="AY27" s="155">
        <v>979</v>
      </c>
      <c r="AZ27" s="155">
        <v>1175</v>
      </c>
      <c r="BA27" s="155">
        <v>1357</v>
      </c>
      <c r="BB27" s="156">
        <v>1515</v>
      </c>
      <c r="BC27" s="154">
        <v>1462</v>
      </c>
      <c r="BD27" s="155">
        <v>1567</v>
      </c>
      <c r="BE27" s="155">
        <v>1880</v>
      </c>
      <c r="BF27" s="155">
        <v>2172</v>
      </c>
      <c r="BG27" s="156">
        <v>2424</v>
      </c>
      <c r="BH27"/>
      <c r="BI27" s="154">
        <v>802</v>
      </c>
      <c r="BJ27" s="155">
        <v>807</v>
      </c>
      <c r="BK27" s="155">
        <v>988</v>
      </c>
      <c r="BL27" s="155">
        <v>1384</v>
      </c>
      <c r="BM27" s="156">
        <v>1659</v>
      </c>
      <c r="BN27"/>
      <c r="BO27" s="153" t="s">
        <v>104</v>
      </c>
      <c r="BP27" s="154">
        <v>802</v>
      </c>
      <c r="BQ27" s="155">
        <v>807</v>
      </c>
      <c r="BR27" s="155">
        <v>988</v>
      </c>
      <c r="BS27" s="155">
        <v>1357</v>
      </c>
      <c r="BT27" s="156">
        <v>1515</v>
      </c>
      <c r="BU27"/>
      <c r="BV27" s="153" t="s">
        <v>104</v>
      </c>
      <c r="BW27" s="154">
        <v>802</v>
      </c>
      <c r="BX27" s="155">
        <v>807</v>
      </c>
      <c r="BY27" s="155">
        <v>988</v>
      </c>
      <c r="BZ27" s="155">
        <v>1384</v>
      </c>
      <c r="CA27" s="156">
        <v>1659</v>
      </c>
    </row>
    <row r="28" spans="1:79" x14ac:dyDescent="0.25">
      <c r="A28" s="150" t="s">
        <v>105</v>
      </c>
      <c r="B28" s="496">
        <v>52500</v>
      </c>
      <c r="C28" s="151">
        <v>367</v>
      </c>
      <c r="D28" s="147">
        <v>393</v>
      </c>
      <c r="E28" s="147">
        <v>472</v>
      </c>
      <c r="F28" s="147">
        <v>546</v>
      </c>
      <c r="G28" s="152">
        <v>609</v>
      </c>
      <c r="H28" s="151">
        <v>551</v>
      </c>
      <c r="I28" s="147">
        <v>590</v>
      </c>
      <c r="J28" s="147">
        <v>708</v>
      </c>
      <c r="K28" s="147">
        <v>819</v>
      </c>
      <c r="L28" s="147">
        <v>913</v>
      </c>
      <c r="M28" s="151">
        <v>735</v>
      </c>
      <c r="N28" s="147">
        <v>787</v>
      </c>
      <c r="O28" s="147">
        <v>945</v>
      </c>
      <c r="P28" s="147">
        <v>1092</v>
      </c>
      <c r="Q28" s="152">
        <v>1218</v>
      </c>
      <c r="R28" s="151">
        <v>918</v>
      </c>
      <c r="S28" s="147">
        <v>984</v>
      </c>
      <c r="T28" s="147">
        <v>1181</v>
      </c>
      <c r="U28" s="147">
        <v>1365</v>
      </c>
      <c r="V28" s="147">
        <v>1522</v>
      </c>
      <c r="W28" s="151">
        <v>1102</v>
      </c>
      <c r="X28" s="147">
        <v>1181</v>
      </c>
      <c r="Y28" s="147">
        <v>1417</v>
      </c>
      <c r="Z28" s="147">
        <v>1638</v>
      </c>
      <c r="AA28" s="152">
        <v>1827</v>
      </c>
      <c r="AB28" s="151">
        <v>1286</v>
      </c>
      <c r="AC28" s="147">
        <v>1378</v>
      </c>
      <c r="AD28" s="147">
        <v>1653</v>
      </c>
      <c r="AE28" s="147">
        <v>1911</v>
      </c>
      <c r="AF28" s="152">
        <v>2131</v>
      </c>
      <c r="AG28" s="151">
        <v>1470</v>
      </c>
      <c r="AH28" s="147">
        <v>1575</v>
      </c>
      <c r="AI28" s="147">
        <v>1890</v>
      </c>
      <c r="AJ28" s="147">
        <v>2184</v>
      </c>
      <c r="AK28" s="152">
        <v>2436</v>
      </c>
      <c r="AM28" s="151">
        <v>551</v>
      </c>
      <c r="AN28" s="147">
        <v>590</v>
      </c>
      <c r="AO28" s="147">
        <v>708</v>
      </c>
      <c r="AP28" s="147">
        <v>872</v>
      </c>
      <c r="AQ28" s="152">
        <v>1078</v>
      </c>
      <c r="AS28" s="151">
        <v>551</v>
      </c>
      <c r="AT28" s="147">
        <v>590</v>
      </c>
      <c r="AU28" s="147">
        <v>708</v>
      </c>
      <c r="AV28" s="147">
        <v>872</v>
      </c>
      <c r="AW28" s="152">
        <v>1078</v>
      </c>
      <c r="AX28" s="151">
        <v>918</v>
      </c>
      <c r="AY28" s="147">
        <v>984</v>
      </c>
      <c r="AZ28" s="147">
        <v>1181</v>
      </c>
      <c r="BA28" s="147">
        <v>1365</v>
      </c>
      <c r="BB28" s="152">
        <v>1522</v>
      </c>
      <c r="BC28" s="151">
        <v>1470</v>
      </c>
      <c r="BD28" s="147">
        <v>1575</v>
      </c>
      <c r="BE28" s="147">
        <v>1890</v>
      </c>
      <c r="BF28" s="147">
        <v>2184</v>
      </c>
      <c r="BG28" s="152">
        <v>2436</v>
      </c>
      <c r="BI28" s="151">
        <v>703</v>
      </c>
      <c r="BJ28" s="147">
        <v>707</v>
      </c>
      <c r="BK28" s="147">
        <v>928</v>
      </c>
      <c r="BL28" s="147">
        <v>1199</v>
      </c>
      <c r="BM28" s="152">
        <v>1558</v>
      </c>
      <c r="BO28" s="150" t="s">
        <v>105</v>
      </c>
      <c r="BP28" s="151">
        <v>703</v>
      </c>
      <c r="BQ28" s="147">
        <v>707</v>
      </c>
      <c r="BR28" s="147">
        <v>928</v>
      </c>
      <c r="BS28" s="147">
        <v>1199</v>
      </c>
      <c r="BT28" s="152">
        <v>1522</v>
      </c>
      <c r="BV28" s="150" t="s">
        <v>105</v>
      </c>
      <c r="BW28" s="151">
        <v>703</v>
      </c>
      <c r="BX28" s="147">
        <v>707</v>
      </c>
      <c r="BY28" s="147">
        <v>928</v>
      </c>
      <c r="BZ28" s="147">
        <v>1199</v>
      </c>
      <c r="CA28" s="152">
        <v>1558</v>
      </c>
    </row>
    <row r="29" spans="1:79" s="157" customFormat="1" x14ac:dyDescent="0.25">
      <c r="A29" s="153" t="s">
        <v>106</v>
      </c>
      <c r="B29" s="497">
        <v>52200</v>
      </c>
      <c r="C29" s="154">
        <v>365</v>
      </c>
      <c r="D29" s="155">
        <v>391</v>
      </c>
      <c r="E29" s="155">
        <v>470</v>
      </c>
      <c r="F29" s="155">
        <v>543</v>
      </c>
      <c r="G29" s="156">
        <v>605</v>
      </c>
      <c r="H29" s="154">
        <v>548</v>
      </c>
      <c r="I29" s="155">
        <v>587</v>
      </c>
      <c r="J29" s="155">
        <v>705</v>
      </c>
      <c r="K29" s="155">
        <v>814</v>
      </c>
      <c r="L29" s="155">
        <v>909</v>
      </c>
      <c r="M29" s="154">
        <v>731</v>
      </c>
      <c r="N29" s="155">
        <v>783</v>
      </c>
      <c r="O29" s="155">
        <v>940</v>
      </c>
      <c r="P29" s="155">
        <v>1086</v>
      </c>
      <c r="Q29" s="156">
        <v>1212</v>
      </c>
      <c r="R29" s="154">
        <v>913</v>
      </c>
      <c r="S29" s="155">
        <v>979</v>
      </c>
      <c r="T29" s="155">
        <v>1175</v>
      </c>
      <c r="U29" s="155">
        <v>1357</v>
      </c>
      <c r="V29" s="155">
        <v>1515</v>
      </c>
      <c r="W29" s="154">
        <v>1096</v>
      </c>
      <c r="X29" s="155">
        <v>1175</v>
      </c>
      <c r="Y29" s="155">
        <v>1410</v>
      </c>
      <c r="Z29" s="155">
        <v>1629</v>
      </c>
      <c r="AA29" s="156">
        <v>1818</v>
      </c>
      <c r="AB29" s="154">
        <v>1279</v>
      </c>
      <c r="AC29" s="155">
        <v>1371</v>
      </c>
      <c r="AD29" s="155">
        <v>1645</v>
      </c>
      <c r="AE29" s="155">
        <v>1900</v>
      </c>
      <c r="AF29" s="156">
        <v>2121</v>
      </c>
      <c r="AG29" s="154">
        <v>1462</v>
      </c>
      <c r="AH29" s="155">
        <v>1567</v>
      </c>
      <c r="AI29" s="155">
        <v>1880</v>
      </c>
      <c r="AJ29" s="155">
        <v>2172</v>
      </c>
      <c r="AK29" s="156">
        <v>2424</v>
      </c>
      <c r="AL29"/>
      <c r="AM29" s="154">
        <v>548</v>
      </c>
      <c r="AN29" s="155">
        <v>587</v>
      </c>
      <c r="AO29" s="155">
        <v>705</v>
      </c>
      <c r="AP29" s="155">
        <v>872</v>
      </c>
      <c r="AQ29" s="156">
        <v>1078</v>
      </c>
      <c r="AR29"/>
      <c r="AS29" s="154">
        <v>548</v>
      </c>
      <c r="AT29" s="155">
        <v>587</v>
      </c>
      <c r="AU29" s="155">
        <v>705</v>
      </c>
      <c r="AV29" s="155">
        <v>872</v>
      </c>
      <c r="AW29" s="156">
        <v>1078</v>
      </c>
      <c r="AX29" s="154">
        <v>913</v>
      </c>
      <c r="AY29" s="155">
        <v>979</v>
      </c>
      <c r="AZ29" s="155">
        <v>1175</v>
      </c>
      <c r="BA29" s="155">
        <v>1357</v>
      </c>
      <c r="BB29" s="156">
        <v>1515</v>
      </c>
      <c r="BC29" s="154">
        <v>1462</v>
      </c>
      <c r="BD29" s="155">
        <v>1567</v>
      </c>
      <c r="BE29" s="155">
        <v>1880</v>
      </c>
      <c r="BF29" s="155">
        <v>2172</v>
      </c>
      <c r="BG29" s="156">
        <v>2424</v>
      </c>
      <c r="BH29"/>
      <c r="BI29" s="154">
        <v>807</v>
      </c>
      <c r="BJ29" s="155">
        <v>838</v>
      </c>
      <c r="BK29" s="155">
        <v>928</v>
      </c>
      <c r="BL29" s="155">
        <v>1300</v>
      </c>
      <c r="BM29" s="156">
        <v>1558</v>
      </c>
      <c r="BN29"/>
      <c r="BO29" s="153" t="s">
        <v>106</v>
      </c>
      <c r="BP29" s="154">
        <v>807</v>
      </c>
      <c r="BQ29" s="155">
        <v>838</v>
      </c>
      <c r="BR29" s="155">
        <v>928</v>
      </c>
      <c r="BS29" s="155">
        <v>1300</v>
      </c>
      <c r="BT29" s="156">
        <v>1515</v>
      </c>
      <c r="BU29"/>
      <c r="BV29" s="153" t="s">
        <v>106</v>
      </c>
      <c r="BW29" s="154">
        <v>807</v>
      </c>
      <c r="BX29" s="155">
        <v>838</v>
      </c>
      <c r="BY29" s="155">
        <v>928</v>
      </c>
      <c r="BZ29" s="155">
        <v>1300</v>
      </c>
      <c r="CA29" s="156">
        <v>1558</v>
      </c>
    </row>
    <row r="30" spans="1:79" x14ac:dyDescent="0.25">
      <c r="A30" s="150" t="s">
        <v>107</v>
      </c>
      <c r="B30" s="496">
        <v>59100</v>
      </c>
      <c r="C30" s="151">
        <v>414</v>
      </c>
      <c r="D30" s="147">
        <v>443</v>
      </c>
      <c r="E30" s="147">
        <v>532</v>
      </c>
      <c r="F30" s="147">
        <v>614</v>
      </c>
      <c r="G30" s="152">
        <v>686</v>
      </c>
      <c r="H30" s="151">
        <v>621</v>
      </c>
      <c r="I30" s="147">
        <v>665</v>
      </c>
      <c r="J30" s="147">
        <v>798</v>
      </c>
      <c r="K30" s="147">
        <v>922</v>
      </c>
      <c r="L30" s="147">
        <v>1029</v>
      </c>
      <c r="M30" s="151">
        <v>828</v>
      </c>
      <c r="N30" s="147">
        <v>887</v>
      </c>
      <c r="O30" s="147">
        <v>1064</v>
      </c>
      <c r="P30" s="147">
        <v>1229</v>
      </c>
      <c r="Q30" s="152">
        <v>1372</v>
      </c>
      <c r="R30" s="151">
        <v>1035</v>
      </c>
      <c r="S30" s="147">
        <v>1108</v>
      </c>
      <c r="T30" s="147">
        <v>1330</v>
      </c>
      <c r="U30" s="147">
        <v>1536</v>
      </c>
      <c r="V30" s="147">
        <v>1715</v>
      </c>
      <c r="W30" s="151">
        <v>1242</v>
      </c>
      <c r="X30" s="147">
        <v>1330</v>
      </c>
      <c r="Y30" s="147">
        <v>1596</v>
      </c>
      <c r="Z30" s="147">
        <v>1844</v>
      </c>
      <c r="AA30" s="152">
        <v>2058</v>
      </c>
      <c r="AB30" s="151">
        <v>1449</v>
      </c>
      <c r="AC30" s="147">
        <v>1552</v>
      </c>
      <c r="AD30" s="147">
        <v>1862</v>
      </c>
      <c r="AE30" s="147">
        <v>2151</v>
      </c>
      <c r="AF30" s="152">
        <v>2401</v>
      </c>
      <c r="AG30" s="151">
        <v>1656</v>
      </c>
      <c r="AH30" s="147">
        <v>1774</v>
      </c>
      <c r="AI30" s="147">
        <v>2128</v>
      </c>
      <c r="AJ30" s="147">
        <v>2459</v>
      </c>
      <c r="AK30" s="152">
        <v>2744</v>
      </c>
      <c r="AM30" s="151">
        <v>621</v>
      </c>
      <c r="AN30" s="147">
        <v>665</v>
      </c>
      <c r="AO30" s="147">
        <v>798</v>
      </c>
      <c r="AP30" s="147">
        <v>921</v>
      </c>
      <c r="AQ30" s="152">
        <v>1078</v>
      </c>
      <c r="AS30" s="151">
        <v>644</v>
      </c>
      <c r="AT30" s="147">
        <v>690</v>
      </c>
      <c r="AU30" s="147">
        <v>828</v>
      </c>
      <c r="AV30" s="147">
        <v>957</v>
      </c>
      <c r="AW30" s="152">
        <v>1078</v>
      </c>
      <c r="AX30" s="151">
        <v>1073</v>
      </c>
      <c r="AY30" s="147">
        <v>1150</v>
      </c>
      <c r="AZ30" s="147">
        <v>1381</v>
      </c>
      <c r="BA30" s="147">
        <v>1595</v>
      </c>
      <c r="BB30" s="152">
        <v>1780</v>
      </c>
      <c r="BC30" s="151">
        <v>1718</v>
      </c>
      <c r="BD30" s="147">
        <v>1841</v>
      </c>
      <c r="BE30" s="147">
        <v>2210</v>
      </c>
      <c r="BF30" s="147">
        <v>2553</v>
      </c>
      <c r="BG30" s="152">
        <v>2848</v>
      </c>
      <c r="BI30" s="151">
        <v>1090</v>
      </c>
      <c r="BJ30" s="147">
        <v>1096</v>
      </c>
      <c r="BK30" s="147">
        <v>1351</v>
      </c>
      <c r="BL30" s="147">
        <v>1628</v>
      </c>
      <c r="BM30" s="152">
        <v>2235</v>
      </c>
      <c r="BO30" s="150" t="s">
        <v>107</v>
      </c>
      <c r="BP30" s="151">
        <v>1035</v>
      </c>
      <c r="BQ30" s="147">
        <v>1096</v>
      </c>
      <c r="BR30" s="147">
        <v>1330</v>
      </c>
      <c r="BS30" s="147">
        <v>1536</v>
      </c>
      <c r="BT30" s="152">
        <v>1715</v>
      </c>
      <c r="BV30" s="150" t="s">
        <v>107</v>
      </c>
      <c r="BW30" s="151">
        <v>1090</v>
      </c>
      <c r="BX30" s="147">
        <v>1096</v>
      </c>
      <c r="BY30" s="147">
        <v>1351</v>
      </c>
      <c r="BZ30" s="147">
        <v>1628</v>
      </c>
      <c r="CA30" s="152">
        <v>2171</v>
      </c>
    </row>
    <row r="31" spans="1:79" s="157" customFormat="1" x14ac:dyDescent="0.25">
      <c r="A31" s="153" t="s">
        <v>108</v>
      </c>
      <c r="B31" s="497">
        <v>55400</v>
      </c>
      <c r="C31" s="154">
        <v>388</v>
      </c>
      <c r="D31" s="155">
        <v>415</v>
      </c>
      <c r="E31" s="155">
        <v>499</v>
      </c>
      <c r="F31" s="155">
        <v>576</v>
      </c>
      <c r="G31" s="156">
        <v>643</v>
      </c>
      <c r="H31" s="154">
        <v>582</v>
      </c>
      <c r="I31" s="155">
        <v>623</v>
      </c>
      <c r="J31" s="155">
        <v>748</v>
      </c>
      <c r="K31" s="155">
        <v>864</v>
      </c>
      <c r="L31" s="155">
        <v>964</v>
      </c>
      <c r="M31" s="154">
        <v>776</v>
      </c>
      <c r="N31" s="155">
        <v>831</v>
      </c>
      <c r="O31" s="155">
        <v>998</v>
      </c>
      <c r="P31" s="155">
        <v>1152</v>
      </c>
      <c r="Q31" s="156">
        <v>1286</v>
      </c>
      <c r="R31" s="154">
        <v>970</v>
      </c>
      <c r="S31" s="155">
        <v>1039</v>
      </c>
      <c r="T31" s="155">
        <v>1247</v>
      </c>
      <c r="U31" s="155">
        <v>1440</v>
      </c>
      <c r="V31" s="155">
        <v>1607</v>
      </c>
      <c r="W31" s="154">
        <v>1164</v>
      </c>
      <c r="X31" s="155">
        <v>1247</v>
      </c>
      <c r="Y31" s="155">
        <v>1497</v>
      </c>
      <c r="Z31" s="155">
        <v>1728</v>
      </c>
      <c r="AA31" s="156">
        <v>1929</v>
      </c>
      <c r="AB31" s="154">
        <v>1358</v>
      </c>
      <c r="AC31" s="155">
        <v>1455</v>
      </c>
      <c r="AD31" s="155">
        <v>1746</v>
      </c>
      <c r="AE31" s="155">
        <v>2016</v>
      </c>
      <c r="AF31" s="156">
        <v>2250</v>
      </c>
      <c r="AG31" s="154">
        <v>1552</v>
      </c>
      <c r="AH31" s="155">
        <v>1663</v>
      </c>
      <c r="AI31" s="155">
        <v>1996</v>
      </c>
      <c r="AJ31" s="155">
        <v>2305</v>
      </c>
      <c r="AK31" s="156">
        <v>2572</v>
      </c>
      <c r="AL31"/>
      <c r="AM31" s="154">
        <v>582</v>
      </c>
      <c r="AN31" s="155">
        <v>623</v>
      </c>
      <c r="AO31" s="155">
        <v>748</v>
      </c>
      <c r="AP31" s="155">
        <v>872</v>
      </c>
      <c r="AQ31" s="156">
        <v>1078</v>
      </c>
      <c r="AR31"/>
      <c r="AS31" s="154">
        <v>593</v>
      </c>
      <c r="AT31" s="155">
        <v>635</v>
      </c>
      <c r="AU31" s="155">
        <v>762</v>
      </c>
      <c r="AV31" s="155">
        <v>894</v>
      </c>
      <c r="AW31" s="156">
        <v>1078</v>
      </c>
      <c r="AX31" s="154">
        <v>988</v>
      </c>
      <c r="AY31" s="155">
        <v>1059</v>
      </c>
      <c r="AZ31" s="155">
        <v>1271</v>
      </c>
      <c r="BA31" s="155">
        <v>1468</v>
      </c>
      <c r="BB31" s="156">
        <v>1637</v>
      </c>
      <c r="BC31" s="154">
        <v>1582</v>
      </c>
      <c r="BD31" s="155">
        <v>1695</v>
      </c>
      <c r="BE31" s="155">
        <v>2034</v>
      </c>
      <c r="BF31" s="155">
        <v>2349</v>
      </c>
      <c r="BG31" s="156">
        <v>2620</v>
      </c>
      <c r="BH31"/>
      <c r="BI31" s="154">
        <v>807</v>
      </c>
      <c r="BJ31" s="155">
        <v>809</v>
      </c>
      <c r="BK31" s="155">
        <v>928</v>
      </c>
      <c r="BL31" s="155">
        <v>1300</v>
      </c>
      <c r="BM31" s="156">
        <v>1558</v>
      </c>
      <c r="BN31"/>
      <c r="BO31" s="153" t="s">
        <v>108</v>
      </c>
      <c r="BP31" s="154">
        <v>807</v>
      </c>
      <c r="BQ31" s="155">
        <v>809</v>
      </c>
      <c r="BR31" s="155">
        <v>928</v>
      </c>
      <c r="BS31" s="155">
        <v>1300</v>
      </c>
      <c r="BT31" s="156">
        <v>1558</v>
      </c>
      <c r="BU31"/>
      <c r="BV31" s="153" t="s">
        <v>108</v>
      </c>
      <c r="BW31" s="154">
        <v>807</v>
      </c>
      <c r="BX31" s="155">
        <v>809</v>
      </c>
      <c r="BY31" s="155">
        <v>928</v>
      </c>
      <c r="BZ31" s="155">
        <v>1300</v>
      </c>
      <c r="CA31" s="156">
        <v>1558</v>
      </c>
    </row>
    <row r="32" spans="1:79" x14ac:dyDescent="0.25">
      <c r="A32" s="150" t="s">
        <v>109</v>
      </c>
      <c r="B32" s="496">
        <v>55550</v>
      </c>
      <c r="C32" s="151">
        <v>389</v>
      </c>
      <c r="D32" s="147">
        <v>416</v>
      </c>
      <c r="E32" s="147">
        <v>500</v>
      </c>
      <c r="F32" s="147">
        <v>577</v>
      </c>
      <c r="G32" s="152">
        <v>644</v>
      </c>
      <c r="H32" s="151">
        <v>583</v>
      </c>
      <c r="I32" s="147">
        <v>625</v>
      </c>
      <c r="J32" s="147">
        <v>750</v>
      </c>
      <c r="K32" s="147">
        <v>866</v>
      </c>
      <c r="L32" s="147">
        <v>966</v>
      </c>
      <c r="M32" s="151">
        <v>778</v>
      </c>
      <c r="N32" s="147">
        <v>833</v>
      </c>
      <c r="O32" s="147">
        <v>1000</v>
      </c>
      <c r="P32" s="147">
        <v>1155</v>
      </c>
      <c r="Q32" s="152">
        <v>1289</v>
      </c>
      <c r="R32" s="151">
        <v>972</v>
      </c>
      <c r="S32" s="147">
        <v>1041</v>
      </c>
      <c r="T32" s="147">
        <v>1250</v>
      </c>
      <c r="U32" s="147">
        <v>1444</v>
      </c>
      <c r="V32" s="147">
        <v>1611</v>
      </c>
      <c r="W32" s="151">
        <v>1167</v>
      </c>
      <c r="X32" s="147">
        <v>1250</v>
      </c>
      <c r="Y32" s="147">
        <v>1500</v>
      </c>
      <c r="Z32" s="147">
        <v>1733</v>
      </c>
      <c r="AA32" s="152">
        <v>1933</v>
      </c>
      <c r="AB32" s="151">
        <v>1361</v>
      </c>
      <c r="AC32" s="147">
        <v>1458</v>
      </c>
      <c r="AD32" s="147">
        <v>1750</v>
      </c>
      <c r="AE32" s="147">
        <v>2022</v>
      </c>
      <c r="AF32" s="152">
        <v>2255</v>
      </c>
      <c r="AG32" s="151">
        <v>1556</v>
      </c>
      <c r="AH32" s="147">
        <v>1667</v>
      </c>
      <c r="AI32" s="147">
        <v>2000</v>
      </c>
      <c r="AJ32" s="147">
        <v>2311</v>
      </c>
      <c r="AK32" s="152">
        <v>2578</v>
      </c>
      <c r="AM32" s="151">
        <v>583</v>
      </c>
      <c r="AN32" s="147">
        <v>625</v>
      </c>
      <c r="AO32" s="147">
        <v>751</v>
      </c>
      <c r="AP32" s="147">
        <v>872</v>
      </c>
      <c r="AQ32" s="152">
        <v>1078</v>
      </c>
      <c r="AS32" s="151">
        <v>583</v>
      </c>
      <c r="AT32" s="147">
        <v>625</v>
      </c>
      <c r="AU32" s="147">
        <v>750</v>
      </c>
      <c r="AV32" s="147">
        <v>887</v>
      </c>
      <c r="AW32" s="152">
        <v>1078</v>
      </c>
      <c r="AX32" s="151">
        <v>972</v>
      </c>
      <c r="AY32" s="147">
        <v>1041</v>
      </c>
      <c r="AZ32" s="147">
        <v>1250</v>
      </c>
      <c r="BA32" s="147">
        <v>1444</v>
      </c>
      <c r="BB32" s="152">
        <v>1611</v>
      </c>
      <c r="BC32" s="151">
        <v>1556</v>
      </c>
      <c r="BD32" s="147">
        <v>1667</v>
      </c>
      <c r="BE32" s="147">
        <v>2000</v>
      </c>
      <c r="BF32" s="147">
        <v>2311</v>
      </c>
      <c r="BG32" s="152">
        <v>2578</v>
      </c>
      <c r="BI32" s="151">
        <v>812</v>
      </c>
      <c r="BJ32" s="147">
        <v>869</v>
      </c>
      <c r="BK32" s="147">
        <v>1140</v>
      </c>
      <c r="BL32" s="147">
        <v>1373</v>
      </c>
      <c r="BM32" s="152">
        <v>1511</v>
      </c>
      <c r="BO32" s="150" t="s">
        <v>109</v>
      </c>
      <c r="BP32" s="151">
        <v>812</v>
      </c>
      <c r="BQ32" s="147">
        <v>869</v>
      </c>
      <c r="BR32" s="147">
        <v>1140</v>
      </c>
      <c r="BS32" s="147">
        <v>1373</v>
      </c>
      <c r="BT32" s="152">
        <v>1511</v>
      </c>
      <c r="BV32" s="150" t="s">
        <v>109</v>
      </c>
      <c r="BW32" s="151">
        <v>812</v>
      </c>
      <c r="BX32" s="147">
        <v>869</v>
      </c>
      <c r="BY32" s="147">
        <v>1140</v>
      </c>
      <c r="BZ32" s="147">
        <v>1373</v>
      </c>
      <c r="CA32" s="152">
        <v>1511</v>
      </c>
    </row>
    <row r="33" spans="1:79" s="157" customFormat="1" x14ac:dyDescent="0.25">
      <c r="A33" s="153" t="s">
        <v>110</v>
      </c>
      <c r="B33" s="497">
        <v>59250</v>
      </c>
      <c r="C33" s="154">
        <v>415</v>
      </c>
      <c r="D33" s="155">
        <v>444</v>
      </c>
      <c r="E33" s="155">
        <v>533</v>
      </c>
      <c r="F33" s="155">
        <v>616</v>
      </c>
      <c r="G33" s="156">
        <v>687</v>
      </c>
      <c r="H33" s="154">
        <v>622</v>
      </c>
      <c r="I33" s="155">
        <v>666</v>
      </c>
      <c r="J33" s="155">
        <v>800</v>
      </c>
      <c r="K33" s="155">
        <v>924</v>
      </c>
      <c r="L33" s="155">
        <v>1031</v>
      </c>
      <c r="M33" s="154">
        <v>830</v>
      </c>
      <c r="N33" s="155">
        <v>889</v>
      </c>
      <c r="O33" s="155">
        <v>1067</v>
      </c>
      <c r="P33" s="155">
        <v>1232</v>
      </c>
      <c r="Q33" s="156">
        <v>1375</v>
      </c>
      <c r="R33" s="154">
        <v>1037</v>
      </c>
      <c r="S33" s="155">
        <v>1111</v>
      </c>
      <c r="T33" s="155">
        <v>1333</v>
      </c>
      <c r="U33" s="155">
        <v>1540</v>
      </c>
      <c r="V33" s="155">
        <v>1718</v>
      </c>
      <c r="W33" s="154">
        <v>1245</v>
      </c>
      <c r="X33" s="155">
        <v>1333</v>
      </c>
      <c r="Y33" s="155">
        <v>1600</v>
      </c>
      <c r="Z33" s="155">
        <v>1848</v>
      </c>
      <c r="AA33" s="156">
        <v>2062</v>
      </c>
      <c r="AB33" s="154">
        <v>1452</v>
      </c>
      <c r="AC33" s="155">
        <v>1555</v>
      </c>
      <c r="AD33" s="155">
        <v>1867</v>
      </c>
      <c r="AE33" s="155">
        <v>2156</v>
      </c>
      <c r="AF33" s="156">
        <v>2406</v>
      </c>
      <c r="AG33" s="154">
        <v>1660</v>
      </c>
      <c r="AH33" s="155">
        <v>1778</v>
      </c>
      <c r="AI33" s="155">
        <v>2134</v>
      </c>
      <c r="AJ33" s="155">
        <v>2465</v>
      </c>
      <c r="AK33" s="156">
        <v>2750</v>
      </c>
      <c r="AL33"/>
      <c r="AM33" s="154">
        <v>622</v>
      </c>
      <c r="AN33" s="155">
        <v>666</v>
      </c>
      <c r="AO33" s="155">
        <v>800</v>
      </c>
      <c r="AP33" s="155">
        <v>924</v>
      </c>
      <c r="AQ33" s="156">
        <v>1078</v>
      </c>
      <c r="AR33"/>
      <c r="AS33" s="154">
        <v>673</v>
      </c>
      <c r="AT33" s="155">
        <v>721</v>
      </c>
      <c r="AU33" s="155">
        <v>865</v>
      </c>
      <c r="AV33" s="155">
        <v>1000</v>
      </c>
      <c r="AW33" s="156">
        <v>1116</v>
      </c>
      <c r="AX33" s="154">
        <v>1122</v>
      </c>
      <c r="AY33" s="155">
        <v>1202</v>
      </c>
      <c r="AZ33" s="155">
        <v>1442</v>
      </c>
      <c r="BA33" s="155">
        <v>1666</v>
      </c>
      <c r="BB33" s="156">
        <v>1860</v>
      </c>
      <c r="BC33" s="154">
        <v>1796</v>
      </c>
      <c r="BD33" s="155">
        <v>1924</v>
      </c>
      <c r="BE33" s="155">
        <v>2308</v>
      </c>
      <c r="BF33" s="155">
        <v>2667</v>
      </c>
      <c r="BG33" s="156">
        <v>2976</v>
      </c>
      <c r="BH33"/>
      <c r="BI33" s="154">
        <v>828</v>
      </c>
      <c r="BJ33" s="155">
        <v>917</v>
      </c>
      <c r="BK33" s="155">
        <v>1023</v>
      </c>
      <c r="BL33" s="155">
        <v>1433</v>
      </c>
      <c r="BM33" s="156">
        <v>1718</v>
      </c>
      <c r="BN33"/>
      <c r="BO33" s="153" t="s">
        <v>110</v>
      </c>
      <c r="BP33" s="154">
        <v>828</v>
      </c>
      <c r="BQ33" s="155">
        <v>917</v>
      </c>
      <c r="BR33" s="155">
        <v>1023</v>
      </c>
      <c r="BS33" s="155">
        <v>1433</v>
      </c>
      <c r="BT33" s="156">
        <v>1718</v>
      </c>
      <c r="BU33"/>
      <c r="BV33" s="153" t="s">
        <v>110</v>
      </c>
      <c r="BW33" s="154">
        <v>828</v>
      </c>
      <c r="BX33" s="155">
        <v>917</v>
      </c>
      <c r="BY33" s="155">
        <v>1023</v>
      </c>
      <c r="BZ33" s="155">
        <v>1433</v>
      </c>
      <c r="CA33" s="156">
        <v>1718</v>
      </c>
    </row>
    <row r="34" spans="1:79" x14ac:dyDescent="0.25">
      <c r="A34" s="150" t="s">
        <v>111</v>
      </c>
      <c r="B34" s="496">
        <v>52850</v>
      </c>
      <c r="C34" s="151">
        <v>370</v>
      </c>
      <c r="D34" s="147">
        <v>396</v>
      </c>
      <c r="E34" s="147">
        <v>476</v>
      </c>
      <c r="F34" s="147">
        <v>549</v>
      </c>
      <c r="G34" s="152">
        <v>613</v>
      </c>
      <c r="H34" s="151">
        <v>555</v>
      </c>
      <c r="I34" s="147">
        <v>594</v>
      </c>
      <c r="J34" s="147">
        <v>714</v>
      </c>
      <c r="K34" s="147">
        <v>824</v>
      </c>
      <c r="L34" s="147">
        <v>920</v>
      </c>
      <c r="M34" s="151">
        <v>740</v>
      </c>
      <c r="N34" s="147">
        <v>793</v>
      </c>
      <c r="O34" s="147">
        <v>952</v>
      </c>
      <c r="P34" s="147">
        <v>1099</v>
      </c>
      <c r="Q34" s="152">
        <v>1227</v>
      </c>
      <c r="R34" s="151">
        <v>925</v>
      </c>
      <c r="S34" s="147">
        <v>991</v>
      </c>
      <c r="T34" s="147">
        <v>1190</v>
      </c>
      <c r="U34" s="147">
        <v>1374</v>
      </c>
      <c r="V34" s="147">
        <v>1533</v>
      </c>
      <c r="W34" s="151">
        <v>1110</v>
      </c>
      <c r="X34" s="147">
        <v>1189</v>
      </c>
      <c r="Y34" s="147">
        <v>1428</v>
      </c>
      <c r="Z34" s="147">
        <v>1649</v>
      </c>
      <c r="AA34" s="152">
        <v>1840</v>
      </c>
      <c r="AB34" s="151">
        <v>1295</v>
      </c>
      <c r="AC34" s="147">
        <v>1387</v>
      </c>
      <c r="AD34" s="147">
        <v>1666</v>
      </c>
      <c r="AE34" s="147">
        <v>1924</v>
      </c>
      <c r="AF34" s="152">
        <v>2147</v>
      </c>
      <c r="AG34" s="151">
        <v>1480</v>
      </c>
      <c r="AH34" s="147">
        <v>1586</v>
      </c>
      <c r="AI34" s="147">
        <v>1904</v>
      </c>
      <c r="AJ34" s="147">
        <v>2199</v>
      </c>
      <c r="AK34" s="152">
        <v>2454</v>
      </c>
      <c r="AM34" s="151">
        <v>555</v>
      </c>
      <c r="AN34" s="147">
        <v>595</v>
      </c>
      <c r="AO34" s="147">
        <v>713</v>
      </c>
      <c r="AP34" s="147">
        <v>872</v>
      </c>
      <c r="AQ34" s="152">
        <v>1078</v>
      </c>
      <c r="AS34" s="151">
        <v>555</v>
      </c>
      <c r="AT34" s="147">
        <v>594</v>
      </c>
      <c r="AU34" s="147">
        <v>714</v>
      </c>
      <c r="AV34" s="147">
        <v>872</v>
      </c>
      <c r="AW34" s="152">
        <v>1078</v>
      </c>
      <c r="AX34" s="151">
        <v>925</v>
      </c>
      <c r="AY34" s="147">
        <v>991</v>
      </c>
      <c r="AZ34" s="147">
        <v>1190</v>
      </c>
      <c r="BA34" s="147">
        <v>1374</v>
      </c>
      <c r="BB34" s="152">
        <v>1533</v>
      </c>
      <c r="BC34" s="151">
        <v>1480</v>
      </c>
      <c r="BD34" s="147">
        <v>1586</v>
      </c>
      <c r="BE34" s="147">
        <v>1904</v>
      </c>
      <c r="BF34" s="147">
        <v>2199</v>
      </c>
      <c r="BG34" s="152">
        <v>2454</v>
      </c>
      <c r="BI34" s="151">
        <v>700</v>
      </c>
      <c r="BJ34" s="147">
        <v>843</v>
      </c>
      <c r="BK34" s="147">
        <v>933</v>
      </c>
      <c r="BL34" s="147">
        <v>1307</v>
      </c>
      <c r="BM34" s="152">
        <v>1482</v>
      </c>
      <c r="BO34" s="150" t="s">
        <v>111</v>
      </c>
      <c r="BP34" s="151">
        <v>700</v>
      </c>
      <c r="BQ34" s="147">
        <v>843</v>
      </c>
      <c r="BR34" s="147">
        <v>933</v>
      </c>
      <c r="BS34" s="147">
        <v>1307</v>
      </c>
      <c r="BT34" s="152">
        <v>1482</v>
      </c>
      <c r="BV34" s="150" t="s">
        <v>111</v>
      </c>
      <c r="BW34" s="151">
        <v>700</v>
      </c>
      <c r="BX34" s="147">
        <v>843</v>
      </c>
      <c r="BY34" s="147">
        <v>933</v>
      </c>
      <c r="BZ34" s="147">
        <v>1307</v>
      </c>
      <c r="CA34" s="152">
        <v>1482</v>
      </c>
    </row>
    <row r="35" spans="1:79" s="157" customFormat="1" x14ac:dyDescent="0.25">
      <c r="A35" s="153" t="s">
        <v>112</v>
      </c>
      <c r="B35" s="497">
        <v>52800</v>
      </c>
      <c r="C35" s="154">
        <v>370</v>
      </c>
      <c r="D35" s="155">
        <v>396</v>
      </c>
      <c r="E35" s="155">
        <v>475</v>
      </c>
      <c r="F35" s="155">
        <v>549</v>
      </c>
      <c r="G35" s="156">
        <v>612</v>
      </c>
      <c r="H35" s="154">
        <v>555</v>
      </c>
      <c r="I35" s="155">
        <v>594</v>
      </c>
      <c r="J35" s="155">
        <v>713</v>
      </c>
      <c r="K35" s="155">
        <v>823</v>
      </c>
      <c r="L35" s="155">
        <v>918</v>
      </c>
      <c r="M35" s="154">
        <v>740</v>
      </c>
      <c r="N35" s="155">
        <v>792</v>
      </c>
      <c r="O35" s="155">
        <v>951</v>
      </c>
      <c r="P35" s="155">
        <v>1098</v>
      </c>
      <c r="Q35" s="156">
        <v>1225</v>
      </c>
      <c r="R35" s="154">
        <v>925</v>
      </c>
      <c r="S35" s="155">
        <v>990</v>
      </c>
      <c r="T35" s="155">
        <v>1188</v>
      </c>
      <c r="U35" s="155">
        <v>1373</v>
      </c>
      <c r="V35" s="155">
        <v>1531</v>
      </c>
      <c r="W35" s="154">
        <v>1110</v>
      </c>
      <c r="X35" s="155">
        <v>1188</v>
      </c>
      <c r="Y35" s="155">
        <v>1426</v>
      </c>
      <c r="Z35" s="155">
        <v>1647</v>
      </c>
      <c r="AA35" s="156">
        <v>1837</v>
      </c>
      <c r="AB35" s="154">
        <v>1295</v>
      </c>
      <c r="AC35" s="155">
        <v>1386</v>
      </c>
      <c r="AD35" s="155">
        <v>1664</v>
      </c>
      <c r="AE35" s="155">
        <v>1922</v>
      </c>
      <c r="AF35" s="156">
        <v>2143</v>
      </c>
      <c r="AG35" s="154">
        <v>1480</v>
      </c>
      <c r="AH35" s="155">
        <v>1585</v>
      </c>
      <c r="AI35" s="155">
        <v>1902</v>
      </c>
      <c r="AJ35" s="155">
        <v>2197</v>
      </c>
      <c r="AK35" s="156">
        <v>2450</v>
      </c>
      <c r="AL35"/>
      <c r="AM35" s="154">
        <v>555</v>
      </c>
      <c r="AN35" s="155">
        <v>595</v>
      </c>
      <c r="AO35" s="155">
        <v>713</v>
      </c>
      <c r="AP35" s="155">
        <v>872</v>
      </c>
      <c r="AQ35" s="156">
        <v>1078</v>
      </c>
      <c r="AR35"/>
      <c r="AS35" s="154">
        <v>555</v>
      </c>
      <c r="AT35" s="155">
        <v>594</v>
      </c>
      <c r="AU35" s="155">
        <v>713</v>
      </c>
      <c r="AV35" s="155">
        <v>872</v>
      </c>
      <c r="AW35" s="156">
        <v>1078</v>
      </c>
      <c r="AX35" s="154">
        <v>925</v>
      </c>
      <c r="AY35" s="155">
        <v>990</v>
      </c>
      <c r="AZ35" s="155">
        <v>1188</v>
      </c>
      <c r="BA35" s="155">
        <v>1373</v>
      </c>
      <c r="BB35" s="156">
        <v>1531</v>
      </c>
      <c r="BC35" s="154">
        <v>1480</v>
      </c>
      <c r="BD35" s="155">
        <v>1585</v>
      </c>
      <c r="BE35" s="155">
        <v>1902</v>
      </c>
      <c r="BF35" s="155">
        <v>2197</v>
      </c>
      <c r="BG35" s="156">
        <v>2450</v>
      </c>
      <c r="BH35"/>
      <c r="BI35" s="154">
        <v>807</v>
      </c>
      <c r="BJ35" s="155">
        <v>827</v>
      </c>
      <c r="BK35" s="155">
        <v>928</v>
      </c>
      <c r="BL35" s="155">
        <v>1300</v>
      </c>
      <c r="BM35" s="156">
        <v>1558</v>
      </c>
      <c r="BN35"/>
      <c r="BO35" s="153" t="s">
        <v>112</v>
      </c>
      <c r="BP35" s="154">
        <v>807</v>
      </c>
      <c r="BQ35" s="155">
        <v>827</v>
      </c>
      <c r="BR35" s="155">
        <v>928</v>
      </c>
      <c r="BS35" s="155">
        <v>1300</v>
      </c>
      <c r="BT35" s="156">
        <v>1531</v>
      </c>
      <c r="BU35"/>
      <c r="BV35" s="153" t="s">
        <v>112</v>
      </c>
      <c r="BW35" s="154">
        <v>807</v>
      </c>
      <c r="BX35" s="155">
        <v>827</v>
      </c>
      <c r="BY35" s="155">
        <v>928</v>
      </c>
      <c r="BZ35" s="155">
        <v>1300</v>
      </c>
      <c r="CA35" s="156">
        <v>1558</v>
      </c>
    </row>
    <row r="36" spans="1:79" x14ac:dyDescent="0.25">
      <c r="A36" s="150" t="s">
        <v>113</v>
      </c>
      <c r="B36" s="496">
        <v>59250</v>
      </c>
      <c r="C36" s="151">
        <v>415</v>
      </c>
      <c r="D36" s="147">
        <v>444</v>
      </c>
      <c r="E36" s="147">
        <v>533</v>
      </c>
      <c r="F36" s="147">
        <v>616</v>
      </c>
      <c r="G36" s="152">
        <v>687</v>
      </c>
      <c r="H36" s="151">
        <v>622</v>
      </c>
      <c r="I36" s="147">
        <v>666</v>
      </c>
      <c r="J36" s="147">
        <v>800</v>
      </c>
      <c r="K36" s="147">
        <v>924</v>
      </c>
      <c r="L36" s="147">
        <v>1031</v>
      </c>
      <c r="M36" s="151">
        <v>830</v>
      </c>
      <c r="N36" s="147">
        <v>889</v>
      </c>
      <c r="O36" s="147">
        <v>1067</v>
      </c>
      <c r="P36" s="147">
        <v>1232</v>
      </c>
      <c r="Q36" s="152">
        <v>1375</v>
      </c>
      <c r="R36" s="151">
        <v>1037</v>
      </c>
      <c r="S36" s="147">
        <v>1111</v>
      </c>
      <c r="T36" s="147">
        <v>1333</v>
      </c>
      <c r="U36" s="147">
        <v>1540</v>
      </c>
      <c r="V36" s="147">
        <v>1718</v>
      </c>
      <c r="W36" s="151">
        <v>1245</v>
      </c>
      <c r="X36" s="147">
        <v>1333</v>
      </c>
      <c r="Y36" s="147">
        <v>1600</v>
      </c>
      <c r="Z36" s="147">
        <v>1848</v>
      </c>
      <c r="AA36" s="152">
        <v>2062</v>
      </c>
      <c r="AB36" s="151">
        <v>1452</v>
      </c>
      <c r="AC36" s="147">
        <v>1555</v>
      </c>
      <c r="AD36" s="147">
        <v>1867</v>
      </c>
      <c r="AE36" s="147">
        <v>2156</v>
      </c>
      <c r="AF36" s="152">
        <v>2406</v>
      </c>
      <c r="AG36" s="151">
        <v>1660</v>
      </c>
      <c r="AH36" s="147">
        <v>1778</v>
      </c>
      <c r="AI36" s="147">
        <v>2134</v>
      </c>
      <c r="AJ36" s="147">
        <v>2465</v>
      </c>
      <c r="AK36" s="152">
        <v>2750</v>
      </c>
      <c r="AM36" s="151">
        <v>622</v>
      </c>
      <c r="AN36" s="147">
        <v>666</v>
      </c>
      <c r="AO36" s="147">
        <v>800</v>
      </c>
      <c r="AP36" s="147">
        <v>924</v>
      </c>
      <c r="AQ36" s="152">
        <v>1078</v>
      </c>
      <c r="AS36" s="151">
        <v>673</v>
      </c>
      <c r="AT36" s="147">
        <v>721</v>
      </c>
      <c r="AU36" s="147">
        <v>865</v>
      </c>
      <c r="AV36" s="147">
        <v>1000</v>
      </c>
      <c r="AW36" s="152">
        <v>1116</v>
      </c>
      <c r="AX36" s="151">
        <v>1122</v>
      </c>
      <c r="AY36" s="147">
        <v>1202</v>
      </c>
      <c r="AZ36" s="147">
        <v>1442</v>
      </c>
      <c r="BA36" s="147">
        <v>1666</v>
      </c>
      <c r="BB36" s="152">
        <v>1860</v>
      </c>
      <c r="BC36" s="151">
        <v>1796</v>
      </c>
      <c r="BD36" s="147">
        <v>1924</v>
      </c>
      <c r="BE36" s="147">
        <v>2308</v>
      </c>
      <c r="BF36" s="147">
        <v>2667</v>
      </c>
      <c r="BG36" s="152">
        <v>2976</v>
      </c>
      <c r="BI36" s="151">
        <v>828</v>
      </c>
      <c r="BJ36" s="147">
        <v>917</v>
      </c>
      <c r="BK36" s="147">
        <v>1023</v>
      </c>
      <c r="BL36" s="147">
        <v>1433</v>
      </c>
      <c r="BM36" s="152">
        <v>1718</v>
      </c>
      <c r="BO36" s="150" t="s">
        <v>113</v>
      </c>
      <c r="BP36" s="151">
        <v>828</v>
      </c>
      <c r="BQ36" s="147">
        <v>917</v>
      </c>
      <c r="BR36" s="147">
        <v>1023</v>
      </c>
      <c r="BS36" s="147">
        <v>1433</v>
      </c>
      <c r="BT36" s="152">
        <v>1718</v>
      </c>
      <c r="BV36" s="150" t="s">
        <v>113</v>
      </c>
      <c r="BW36" s="151">
        <v>828</v>
      </c>
      <c r="BX36" s="147">
        <v>917</v>
      </c>
      <c r="BY36" s="147">
        <v>1023</v>
      </c>
      <c r="BZ36" s="147">
        <v>1433</v>
      </c>
      <c r="CA36" s="152">
        <v>1718</v>
      </c>
    </row>
    <row r="37" spans="1:79" s="157" customFormat="1" x14ac:dyDescent="0.25">
      <c r="A37" s="153" t="s">
        <v>114</v>
      </c>
      <c r="B37" s="497">
        <v>52200</v>
      </c>
      <c r="C37" s="154">
        <v>365</v>
      </c>
      <c r="D37" s="155">
        <v>391</v>
      </c>
      <c r="E37" s="155">
        <v>470</v>
      </c>
      <c r="F37" s="155">
        <v>543</v>
      </c>
      <c r="G37" s="156">
        <v>605</v>
      </c>
      <c r="H37" s="154">
        <v>548</v>
      </c>
      <c r="I37" s="155">
        <v>587</v>
      </c>
      <c r="J37" s="155">
        <v>705</v>
      </c>
      <c r="K37" s="155">
        <v>814</v>
      </c>
      <c r="L37" s="155">
        <v>909</v>
      </c>
      <c r="M37" s="154">
        <v>731</v>
      </c>
      <c r="N37" s="155">
        <v>783</v>
      </c>
      <c r="O37" s="155">
        <v>940</v>
      </c>
      <c r="P37" s="155">
        <v>1086</v>
      </c>
      <c r="Q37" s="156">
        <v>1212</v>
      </c>
      <c r="R37" s="154">
        <v>913</v>
      </c>
      <c r="S37" s="155">
        <v>979</v>
      </c>
      <c r="T37" s="155">
        <v>1175</v>
      </c>
      <c r="U37" s="155">
        <v>1357</v>
      </c>
      <c r="V37" s="155">
        <v>1515</v>
      </c>
      <c r="W37" s="154">
        <v>1096</v>
      </c>
      <c r="X37" s="155">
        <v>1175</v>
      </c>
      <c r="Y37" s="155">
        <v>1410</v>
      </c>
      <c r="Z37" s="155">
        <v>1629</v>
      </c>
      <c r="AA37" s="156">
        <v>1818</v>
      </c>
      <c r="AB37" s="154">
        <v>1279</v>
      </c>
      <c r="AC37" s="155">
        <v>1371</v>
      </c>
      <c r="AD37" s="155">
        <v>1645</v>
      </c>
      <c r="AE37" s="155">
        <v>1900</v>
      </c>
      <c r="AF37" s="156">
        <v>2121</v>
      </c>
      <c r="AG37" s="154">
        <v>1462</v>
      </c>
      <c r="AH37" s="155">
        <v>1567</v>
      </c>
      <c r="AI37" s="155">
        <v>1880</v>
      </c>
      <c r="AJ37" s="155">
        <v>2172</v>
      </c>
      <c r="AK37" s="156">
        <v>2424</v>
      </c>
      <c r="AL37"/>
      <c r="AM37" s="154">
        <v>548</v>
      </c>
      <c r="AN37" s="155">
        <v>587</v>
      </c>
      <c r="AO37" s="155">
        <v>705</v>
      </c>
      <c r="AP37" s="155">
        <v>872</v>
      </c>
      <c r="AQ37" s="156">
        <v>1078</v>
      </c>
      <c r="AR37"/>
      <c r="AS37" s="154">
        <v>548</v>
      </c>
      <c r="AT37" s="155">
        <v>587</v>
      </c>
      <c r="AU37" s="155">
        <v>705</v>
      </c>
      <c r="AV37" s="155">
        <v>872</v>
      </c>
      <c r="AW37" s="156">
        <v>1078</v>
      </c>
      <c r="AX37" s="154">
        <v>913</v>
      </c>
      <c r="AY37" s="155">
        <v>979</v>
      </c>
      <c r="AZ37" s="155">
        <v>1175</v>
      </c>
      <c r="BA37" s="155">
        <v>1357</v>
      </c>
      <c r="BB37" s="156">
        <v>1515</v>
      </c>
      <c r="BC37" s="154">
        <v>1462</v>
      </c>
      <c r="BD37" s="155">
        <v>1567</v>
      </c>
      <c r="BE37" s="155">
        <v>1880</v>
      </c>
      <c r="BF37" s="155">
        <v>2172</v>
      </c>
      <c r="BG37" s="156">
        <v>2424</v>
      </c>
      <c r="BH37"/>
      <c r="BI37" s="154">
        <v>807</v>
      </c>
      <c r="BJ37" s="155">
        <v>838</v>
      </c>
      <c r="BK37" s="155">
        <v>928</v>
      </c>
      <c r="BL37" s="155">
        <v>1300</v>
      </c>
      <c r="BM37" s="156">
        <v>1558</v>
      </c>
      <c r="BN37"/>
      <c r="BO37" s="153" t="s">
        <v>114</v>
      </c>
      <c r="BP37" s="154">
        <v>807</v>
      </c>
      <c r="BQ37" s="155">
        <v>838</v>
      </c>
      <c r="BR37" s="155">
        <v>928</v>
      </c>
      <c r="BS37" s="155">
        <v>1300</v>
      </c>
      <c r="BT37" s="156">
        <v>1515</v>
      </c>
      <c r="BU37"/>
      <c r="BV37" s="153" t="s">
        <v>114</v>
      </c>
      <c r="BW37" s="154">
        <v>807</v>
      </c>
      <c r="BX37" s="155">
        <v>838</v>
      </c>
      <c r="BY37" s="155">
        <v>928</v>
      </c>
      <c r="BZ37" s="155">
        <v>1300</v>
      </c>
      <c r="CA37" s="156">
        <v>1558</v>
      </c>
    </row>
    <row r="38" spans="1:79" x14ac:dyDescent="0.25">
      <c r="A38" s="150" t="s">
        <v>115</v>
      </c>
      <c r="B38" s="496">
        <v>52200</v>
      </c>
      <c r="C38" s="151">
        <v>365</v>
      </c>
      <c r="D38" s="147">
        <v>391</v>
      </c>
      <c r="E38" s="147">
        <v>470</v>
      </c>
      <c r="F38" s="147">
        <v>543</v>
      </c>
      <c r="G38" s="152">
        <v>605</v>
      </c>
      <c r="H38" s="151">
        <v>548</v>
      </c>
      <c r="I38" s="147">
        <v>587</v>
      </c>
      <c r="J38" s="147">
        <v>705</v>
      </c>
      <c r="K38" s="147">
        <v>814</v>
      </c>
      <c r="L38" s="147">
        <v>909</v>
      </c>
      <c r="M38" s="151">
        <v>731</v>
      </c>
      <c r="N38" s="147">
        <v>783</v>
      </c>
      <c r="O38" s="147">
        <v>940</v>
      </c>
      <c r="P38" s="147">
        <v>1086</v>
      </c>
      <c r="Q38" s="152">
        <v>1212</v>
      </c>
      <c r="R38" s="151">
        <v>913</v>
      </c>
      <c r="S38" s="147">
        <v>979</v>
      </c>
      <c r="T38" s="147">
        <v>1175</v>
      </c>
      <c r="U38" s="147">
        <v>1357</v>
      </c>
      <c r="V38" s="147">
        <v>1515</v>
      </c>
      <c r="W38" s="151">
        <v>1096</v>
      </c>
      <c r="X38" s="147">
        <v>1175</v>
      </c>
      <c r="Y38" s="147">
        <v>1410</v>
      </c>
      <c r="Z38" s="147">
        <v>1629</v>
      </c>
      <c r="AA38" s="152">
        <v>1818</v>
      </c>
      <c r="AB38" s="151">
        <v>1279</v>
      </c>
      <c r="AC38" s="147">
        <v>1371</v>
      </c>
      <c r="AD38" s="147">
        <v>1645</v>
      </c>
      <c r="AE38" s="147">
        <v>1900</v>
      </c>
      <c r="AF38" s="152">
        <v>2121</v>
      </c>
      <c r="AG38" s="151">
        <v>1462</v>
      </c>
      <c r="AH38" s="147">
        <v>1567</v>
      </c>
      <c r="AI38" s="147">
        <v>1880</v>
      </c>
      <c r="AJ38" s="147">
        <v>2172</v>
      </c>
      <c r="AK38" s="152">
        <v>2424</v>
      </c>
      <c r="AM38" s="151">
        <v>548</v>
      </c>
      <c r="AN38" s="147">
        <v>587</v>
      </c>
      <c r="AO38" s="147">
        <v>705</v>
      </c>
      <c r="AP38" s="147">
        <v>872</v>
      </c>
      <c r="AQ38" s="152">
        <v>1078</v>
      </c>
      <c r="AS38" s="151">
        <v>548</v>
      </c>
      <c r="AT38" s="147">
        <v>587</v>
      </c>
      <c r="AU38" s="147">
        <v>705</v>
      </c>
      <c r="AV38" s="147">
        <v>872</v>
      </c>
      <c r="AW38" s="152">
        <v>1078</v>
      </c>
      <c r="AX38" s="151">
        <v>913</v>
      </c>
      <c r="AY38" s="147">
        <v>979</v>
      </c>
      <c r="AZ38" s="147">
        <v>1175</v>
      </c>
      <c r="BA38" s="147">
        <v>1357</v>
      </c>
      <c r="BB38" s="152">
        <v>1515</v>
      </c>
      <c r="BC38" s="151">
        <v>1462</v>
      </c>
      <c r="BD38" s="147">
        <v>1567</v>
      </c>
      <c r="BE38" s="147">
        <v>1880</v>
      </c>
      <c r="BF38" s="147">
        <v>2172</v>
      </c>
      <c r="BG38" s="152">
        <v>2424</v>
      </c>
      <c r="BI38" s="151">
        <v>807</v>
      </c>
      <c r="BJ38" s="147">
        <v>838</v>
      </c>
      <c r="BK38" s="147">
        <v>928</v>
      </c>
      <c r="BL38" s="147">
        <v>1226</v>
      </c>
      <c r="BM38" s="152">
        <v>1289</v>
      </c>
      <c r="BO38" s="150" t="s">
        <v>115</v>
      </c>
      <c r="BP38" s="151">
        <v>807</v>
      </c>
      <c r="BQ38" s="147">
        <v>838</v>
      </c>
      <c r="BR38" s="147">
        <v>928</v>
      </c>
      <c r="BS38" s="147">
        <v>1226</v>
      </c>
      <c r="BT38" s="152">
        <v>1289</v>
      </c>
      <c r="BV38" s="150" t="s">
        <v>115</v>
      </c>
      <c r="BW38" s="151">
        <v>807</v>
      </c>
      <c r="BX38" s="147">
        <v>838</v>
      </c>
      <c r="BY38" s="147">
        <v>928</v>
      </c>
      <c r="BZ38" s="147">
        <v>1226</v>
      </c>
      <c r="CA38" s="152">
        <v>1289</v>
      </c>
    </row>
    <row r="39" spans="1:79" s="157" customFormat="1" x14ac:dyDescent="0.25">
      <c r="A39" s="153" t="s">
        <v>116</v>
      </c>
      <c r="B39" s="497">
        <v>52200</v>
      </c>
      <c r="C39" s="154">
        <v>365</v>
      </c>
      <c r="D39" s="155">
        <v>391</v>
      </c>
      <c r="E39" s="155">
        <v>470</v>
      </c>
      <c r="F39" s="155">
        <v>543</v>
      </c>
      <c r="G39" s="156">
        <v>605</v>
      </c>
      <c r="H39" s="154">
        <v>548</v>
      </c>
      <c r="I39" s="155">
        <v>587</v>
      </c>
      <c r="J39" s="155">
        <v>705</v>
      </c>
      <c r="K39" s="155">
        <v>814</v>
      </c>
      <c r="L39" s="155">
        <v>909</v>
      </c>
      <c r="M39" s="154">
        <v>731</v>
      </c>
      <c r="N39" s="155">
        <v>783</v>
      </c>
      <c r="O39" s="155">
        <v>940</v>
      </c>
      <c r="P39" s="155">
        <v>1086</v>
      </c>
      <c r="Q39" s="156">
        <v>1212</v>
      </c>
      <c r="R39" s="154">
        <v>913</v>
      </c>
      <c r="S39" s="155">
        <v>979</v>
      </c>
      <c r="T39" s="155">
        <v>1175</v>
      </c>
      <c r="U39" s="155">
        <v>1357</v>
      </c>
      <c r="V39" s="155">
        <v>1515</v>
      </c>
      <c r="W39" s="154">
        <v>1096</v>
      </c>
      <c r="X39" s="155">
        <v>1175</v>
      </c>
      <c r="Y39" s="155">
        <v>1410</v>
      </c>
      <c r="Z39" s="155">
        <v>1629</v>
      </c>
      <c r="AA39" s="156">
        <v>1818</v>
      </c>
      <c r="AB39" s="154">
        <v>1279</v>
      </c>
      <c r="AC39" s="155">
        <v>1371</v>
      </c>
      <c r="AD39" s="155">
        <v>1645</v>
      </c>
      <c r="AE39" s="155">
        <v>1900</v>
      </c>
      <c r="AF39" s="156">
        <v>2121</v>
      </c>
      <c r="AG39" s="154">
        <v>1462</v>
      </c>
      <c r="AH39" s="155">
        <v>1567</v>
      </c>
      <c r="AI39" s="155">
        <v>1880</v>
      </c>
      <c r="AJ39" s="155">
        <v>2172</v>
      </c>
      <c r="AK39" s="156">
        <v>2424</v>
      </c>
      <c r="AL39"/>
      <c r="AM39" s="154">
        <v>548</v>
      </c>
      <c r="AN39" s="155">
        <v>587</v>
      </c>
      <c r="AO39" s="155">
        <v>705</v>
      </c>
      <c r="AP39" s="155">
        <v>872</v>
      </c>
      <c r="AQ39" s="156">
        <v>1078</v>
      </c>
      <c r="AR39"/>
      <c r="AS39" s="154">
        <v>548</v>
      </c>
      <c r="AT39" s="155">
        <v>587</v>
      </c>
      <c r="AU39" s="155">
        <v>705</v>
      </c>
      <c r="AV39" s="155">
        <v>872</v>
      </c>
      <c r="AW39" s="156">
        <v>1078</v>
      </c>
      <c r="AX39" s="154">
        <v>913</v>
      </c>
      <c r="AY39" s="155">
        <v>979</v>
      </c>
      <c r="AZ39" s="155">
        <v>1175</v>
      </c>
      <c r="BA39" s="155">
        <v>1357</v>
      </c>
      <c r="BB39" s="156">
        <v>1515</v>
      </c>
      <c r="BC39" s="154">
        <v>1462</v>
      </c>
      <c r="BD39" s="155">
        <v>1567</v>
      </c>
      <c r="BE39" s="155">
        <v>1880</v>
      </c>
      <c r="BF39" s="155">
        <v>2172</v>
      </c>
      <c r="BG39" s="156">
        <v>2424</v>
      </c>
      <c r="BH39"/>
      <c r="BI39" s="154">
        <v>636</v>
      </c>
      <c r="BJ39" s="155">
        <v>722</v>
      </c>
      <c r="BK39" s="155">
        <v>928</v>
      </c>
      <c r="BL39" s="155">
        <v>1300</v>
      </c>
      <c r="BM39" s="156">
        <v>1409</v>
      </c>
      <c r="BN39"/>
      <c r="BO39" s="153" t="s">
        <v>116</v>
      </c>
      <c r="BP39" s="154">
        <v>636</v>
      </c>
      <c r="BQ39" s="155">
        <v>722</v>
      </c>
      <c r="BR39" s="155">
        <v>928</v>
      </c>
      <c r="BS39" s="155">
        <v>1300</v>
      </c>
      <c r="BT39" s="156">
        <v>1409</v>
      </c>
      <c r="BU39"/>
      <c r="BV39" s="153" t="s">
        <v>116</v>
      </c>
      <c r="BW39" s="154">
        <v>636</v>
      </c>
      <c r="BX39" s="155">
        <v>722</v>
      </c>
      <c r="BY39" s="155">
        <v>928</v>
      </c>
      <c r="BZ39" s="155">
        <v>1300</v>
      </c>
      <c r="CA39" s="156">
        <v>1409</v>
      </c>
    </row>
    <row r="40" spans="1:79" x14ac:dyDescent="0.25">
      <c r="A40" s="150" t="s">
        <v>117</v>
      </c>
      <c r="B40" s="496">
        <v>52200</v>
      </c>
      <c r="C40" s="151">
        <v>365</v>
      </c>
      <c r="D40" s="147">
        <v>391</v>
      </c>
      <c r="E40" s="147">
        <v>470</v>
      </c>
      <c r="F40" s="147">
        <v>543</v>
      </c>
      <c r="G40" s="152">
        <v>605</v>
      </c>
      <c r="H40" s="151">
        <v>548</v>
      </c>
      <c r="I40" s="147">
        <v>587</v>
      </c>
      <c r="J40" s="147">
        <v>705</v>
      </c>
      <c r="K40" s="147">
        <v>814</v>
      </c>
      <c r="L40" s="147">
        <v>909</v>
      </c>
      <c r="M40" s="151">
        <v>731</v>
      </c>
      <c r="N40" s="147">
        <v>783</v>
      </c>
      <c r="O40" s="147">
        <v>940</v>
      </c>
      <c r="P40" s="147">
        <v>1086</v>
      </c>
      <c r="Q40" s="152">
        <v>1212</v>
      </c>
      <c r="R40" s="151">
        <v>913</v>
      </c>
      <c r="S40" s="147">
        <v>979</v>
      </c>
      <c r="T40" s="147">
        <v>1175</v>
      </c>
      <c r="U40" s="147">
        <v>1357</v>
      </c>
      <c r="V40" s="147">
        <v>1515</v>
      </c>
      <c r="W40" s="151">
        <v>1096</v>
      </c>
      <c r="X40" s="147">
        <v>1175</v>
      </c>
      <c r="Y40" s="147">
        <v>1410</v>
      </c>
      <c r="Z40" s="147">
        <v>1629</v>
      </c>
      <c r="AA40" s="152">
        <v>1818</v>
      </c>
      <c r="AB40" s="151">
        <v>1279</v>
      </c>
      <c r="AC40" s="147">
        <v>1371</v>
      </c>
      <c r="AD40" s="147">
        <v>1645</v>
      </c>
      <c r="AE40" s="147">
        <v>1900</v>
      </c>
      <c r="AF40" s="152">
        <v>2121</v>
      </c>
      <c r="AG40" s="151">
        <v>1462</v>
      </c>
      <c r="AH40" s="147">
        <v>1567</v>
      </c>
      <c r="AI40" s="147">
        <v>1880</v>
      </c>
      <c r="AJ40" s="147">
        <v>2172</v>
      </c>
      <c r="AK40" s="152">
        <v>2424</v>
      </c>
      <c r="AM40" s="151">
        <v>548</v>
      </c>
      <c r="AN40" s="147">
        <v>587</v>
      </c>
      <c r="AO40" s="147">
        <v>705</v>
      </c>
      <c r="AP40" s="147">
        <v>872</v>
      </c>
      <c r="AQ40" s="152">
        <v>1078</v>
      </c>
      <c r="AS40" s="151">
        <v>548</v>
      </c>
      <c r="AT40" s="147">
        <v>587</v>
      </c>
      <c r="AU40" s="147">
        <v>705</v>
      </c>
      <c r="AV40" s="147">
        <v>872</v>
      </c>
      <c r="AW40" s="152">
        <v>1078</v>
      </c>
      <c r="AX40" s="151">
        <v>913</v>
      </c>
      <c r="AY40" s="147">
        <v>979</v>
      </c>
      <c r="AZ40" s="147">
        <v>1175</v>
      </c>
      <c r="BA40" s="147">
        <v>1357</v>
      </c>
      <c r="BB40" s="152">
        <v>1515</v>
      </c>
      <c r="BC40" s="151">
        <v>1462</v>
      </c>
      <c r="BD40" s="147">
        <v>1567</v>
      </c>
      <c r="BE40" s="147">
        <v>1880</v>
      </c>
      <c r="BF40" s="147">
        <v>2172</v>
      </c>
      <c r="BG40" s="152">
        <v>2424</v>
      </c>
      <c r="BI40" s="151">
        <v>711</v>
      </c>
      <c r="BJ40" s="147">
        <v>716</v>
      </c>
      <c r="BK40" s="147">
        <v>928</v>
      </c>
      <c r="BL40" s="147">
        <v>1225</v>
      </c>
      <c r="BM40" s="152">
        <v>1558</v>
      </c>
      <c r="BO40" s="150" t="s">
        <v>117</v>
      </c>
      <c r="BP40" s="151">
        <v>711</v>
      </c>
      <c r="BQ40" s="147">
        <v>716</v>
      </c>
      <c r="BR40" s="147">
        <v>928</v>
      </c>
      <c r="BS40" s="147">
        <v>1225</v>
      </c>
      <c r="BT40" s="152">
        <v>1515</v>
      </c>
      <c r="BV40" s="150" t="s">
        <v>117</v>
      </c>
      <c r="BW40" s="151">
        <v>711</v>
      </c>
      <c r="BX40" s="147">
        <v>716</v>
      </c>
      <c r="BY40" s="147">
        <v>928</v>
      </c>
      <c r="BZ40" s="147">
        <v>1225</v>
      </c>
      <c r="CA40" s="152">
        <v>1558</v>
      </c>
    </row>
    <row r="41" spans="1:79" s="157" customFormat="1" x14ac:dyDescent="0.25">
      <c r="A41" s="153" t="s">
        <v>118</v>
      </c>
      <c r="B41" s="497">
        <v>52200</v>
      </c>
      <c r="C41" s="154">
        <v>365</v>
      </c>
      <c r="D41" s="155">
        <v>391</v>
      </c>
      <c r="E41" s="155">
        <v>470</v>
      </c>
      <c r="F41" s="155">
        <v>543</v>
      </c>
      <c r="G41" s="156">
        <v>605</v>
      </c>
      <c r="H41" s="154">
        <v>548</v>
      </c>
      <c r="I41" s="155">
        <v>587</v>
      </c>
      <c r="J41" s="155">
        <v>705</v>
      </c>
      <c r="K41" s="155">
        <v>814</v>
      </c>
      <c r="L41" s="155">
        <v>909</v>
      </c>
      <c r="M41" s="154">
        <v>731</v>
      </c>
      <c r="N41" s="155">
        <v>783</v>
      </c>
      <c r="O41" s="155">
        <v>940</v>
      </c>
      <c r="P41" s="155">
        <v>1086</v>
      </c>
      <c r="Q41" s="156">
        <v>1212</v>
      </c>
      <c r="R41" s="154">
        <v>913</v>
      </c>
      <c r="S41" s="155">
        <v>979</v>
      </c>
      <c r="T41" s="155">
        <v>1175</v>
      </c>
      <c r="U41" s="155">
        <v>1357</v>
      </c>
      <c r="V41" s="155">
        <v>1515</v>
      </c>
      <c r="W41" s="154">
        <v>1096</v>
      </c>
      <c r="X41" s="155">
        <v>1175</v>
      </c>
      <c r="Y41" s="155">
        <v>1410</v>
      </c>
      <c r="Z41" s="155">
        <v>1629</v>
      </c>
      <c r="AA41" s="156">
        <v>1818</v>
      </c>
      <c r="AB41" s="154">
        <v>1279</v>
      </c>
      <c r="AC41" s="155">
        <v>1371</v>
      </c>
      <c r="AD41" s="155">
        <v>1645</v>
      </c>
      <c r="AE41" s="155">
        <v>1900</v>
      </c>
      <c r="AF41" s="156">
        <v>2121</v>
      </c>
      <c r="AG41" s="154">
        <v>1462</v>
      </c>
      <c r="AH41" s="155">
        <v>1567</v>
      </c>
      <c r="AI41" s="155">
        <v>1880</v>
      </c>
      <c r="AJ41" s="155">
        <v>2172</v>
      </c>
      <c r="AK41" s="156">
        <v>2424</v>
      </c>
      <c r="AL41"/>
      <c r="AM41" s="154">
        <v>548</v>
      </c>
      <c r="AN41" s="155">
        <v>587</v>
      </c>
      <c r="AO41" s="155">
        <v>705</v>
      </c>
      <c r="AP41" s="155">
        <v>872</v>
      </c>
      <c r="AQ41" s="156">
        <v>1078</v>
      </c>
      <c r="AR41"/>
      <c r="AS41" s="154">
        <v>548</v>
      </c>
      <c r="AT41" s="155">
        <v>587</v>
      </c>
      <c r="AU41" s="155">
        <v>705</v>
      </c>
      <c r="AV41" s="155">
        <v>872</v>
      </c>
      <c r="AW41" s="156">
        <v>1078</v>
      </c>
      <c r="AX41" s="154">
        <v>913</v>
      </c>
      <c r="AY41" s="155">
        <v>979</v>
      </c>
      <c r="AZ41" s="155">
        <v>1175</v>
      </c>
      <c r="BA41" s="155">
        <v>1357</v>
      </c>
      <c r="BB41" s="156">
        <v>1515</v>
      </c>
      <c r="BC41" s="154">
        <v>1462</v>
      </c>
      <c r="BD41" s="155">
        <v>1567</v>
      </c>
      <c r="BE41" s="155">
        <v>1880</v>
      </c>
      <c r="BF41" s="155">
        <v>2172</v>
      </c>
      <c r="BG41" s="156">
        <v>2424</v>
      </c>
      <c r="BH41"/>
      <c r="BI41" s="154">
        <v>709</v>
      </c>
      <c r="BJ41" s="155">
        <v>713</v>
      </c>
      <c r="BK41" s="155">
        <v>936</v>
      </c>
      <c r="BL41" s="155">
        <v>1128</v>
      </c>
      <c r="BM41" s="156">
        <v>1307</v>
      </c>
      <c r="BN41"/>
      <c r="BO41" s="153" t="s">
        <v>118</v>
      </c>
      <c r="BP41" s="154">
        <v>709</v>
      </c>
      <c r="BQ41" s="155">
        <v>713</v>
      </c>
      <c r="BR41" s="155">
        <v>936</v>
      </c>
      <c r="BS41" s="155">
        <v>1128</v>
      </c>
      <c r="BT41" s="156">
        <v>1307</v>
      </c>
      <c r="BU41"/>
      <c r="BV41" s="153" t="s">
        <v>118</v>
      </c>
      <c r="BW41" s="154">
        <v>709</v>
      </c>
      <c r="BX41" s="155">
        <v>713</v>
      </c>
      <c r="BY41" s="155">
        <v>936</v>
      </c>
      <c r="BZ41" s="155">
        <v>1128</v>
      </c>
      <c r="CA41" s="156">
        <v>1307</v>
      </c>
    </row>
    <row r="42" spans="1:79" x14ac:dyDescent="0.25">
      <c r="A42" s="150" t="s">
        <v>119</v>
      </c>
      <c r="B42" s="496">
        <v>55050</v>
      </c>
      <c r="C42" s="151">
        <v>385</v>
      </c>
      <c r="D42" s="147">
        <v>413</v>
      </c>
      <c r="E42" s="147">
        <v>495</v>
      </c>
      <c r="F42" s="147">
        <v>572</v>
      </c>
      <c r="G42" s="152">
        <v>639</v>
      </c>
      <c r="H42" s="151">
        <v>578</v>
      </c>
      <c r="I42" s="147">
        <v>619</v>
      </c>
      <c r="J42" s="147">
        <v>743</v>
      </c>
      <c r="K42" s="147">
        <v>859</v>
      </c>
      <c r="L42" s="147">
        <v>958</v>
      </c>
      <c r="M42" s="151">
        <v>771</v>
      </c>
      <c r="N42" s="147">
        <v>826</v>
      </c>
      <c r="O42" s="147">
        <v>991</v>
      </c>
      <c r="P42" s="147">
        <v>1145</v>
      </c>
      <c r="Q42" s="152">
        <v>1278</v>
      </c>
      <c r="R42" s="151">
        <v>963</v>
      </c>
      <c r="S42" s="147">
        <v>1032</v>
      </c>
      <c r="T42" s="147">
        <v>1238</v>
      </c>
      <c r="U42" s="147">
        <v>1431</v>
      </c>
      <c r="V42" s="147">
        <v>1597</v>
      </c>
      <c r="W42" s="151">
        <v>1156</v>
      </c>
      <c r="X42" s="147">
        <v>1239</v>
      </c>
      <c r="Y42" s="147">
        <v>1486</v>
      </c>
      <c r="Z42" s="147">
        <v>1718</v>
      </c>
      <c r="AA42" s="152">
        <v>1917</v>
      </c>
      <c r="AB42" s="151">
        <v>1349</v>
      </c>
      <c r="AC42" s="147">
        <v>1445</v>
      </c>
      <c r="AD42" s="147">
        <v>1734</v>
      </c>
      <c r="AE42" s="147">
        <v>2004</v>
      </c>
      <c r="AF42" s="152">
        <v>2236</v>
      </c>
      <c r="AG42" s="151">
        <v>1542</v>
      </c>
      <c r="AH42" s="147">
        <v>1652</v>
      </c>
      <c r="AI42" s="147">
        <v>1982</v>
      </c>
      <c r="AJ42" s="147">
        <v>2291</v>
      </c>
      <c r="AK42" s="152">
        <v>2556</v>
      </c>
      <c r="AM42" s="151">
        <v>578</v>
      </c>
      <c r="AN42" s="147">
        <v>620</v>
      </c>
      <c r="AO42" s="147">
        <v>743</v>
      </c>
      <c r="AP42" s="147">
        <v>872</v>
      </c>
      <c r="AQ42" s="152">
        <v>1078</v>
      </c>
      <c r="AS42" s="151">
        <v>578</v>
      </c>
      <c r="AT42" s="147">
        <v>619</v>
      </c>
      <c r="AU42" s="147">
        <v>743</v>
      </c>
      <c r="AV42" s="147">
        <v>883</v>
      </c>
      <c r="AW42" s="152">
        <v>1078</v>
      </c>
      <c r="AX42" s="151">
        <v>963</v>
      </c>
      <c r="AY42" s="147">
        <v>1032</v>
      </c>
      <c r="AZ42" s="147">
        <v>1238</v>
      </c>
      <c r="BA42" s="147">
        <v>1431</v>
      </c>
      <c r="BB42" s="152">
        <v>1597</v>
      </c>
      <c r="BC42" s="151">
        <v>1542</v>
      </c>
      <c r="BD42" s="147">
        <v>1652</v>
      </c>
      <c r="BE42" s="147">
        <v>1982</v>
      </c>
      <c r="BF42" s="147">
        <v>2291</v>
      </c>
      <c r="BG42" s="152">
        <v>2556</v>
      </c>
      <c r="BI42" s="151">
        <v>703</v>
      </c>
      <c r="BJ42" s="147">
        <v>707</v>
      </c>
      <c r="BK42" s="147">
        <v>928</v>
      </c>
      <c r="BL42" s="147">
        <v>1300</v>
      </c>
      <c r="BM42" s="152">
        <v>1558</v>
      </c>
      <c r="BO42" s="150" t="s">
        <v>119</v>
      </c>
      <c r="BP42" s="151">
        <v>703</v>
      </c>
      <c r="BQ42" s="147">
        <v>707</v>
      </c>
      <c r="BR42" s="147">
        <v>928</v>
      </c>
      <c r="BS42" s="147">
        <v>1300</v>
      </c>
      <c r="BT42" s="152">
        <v>1558</v>
      </c>
      <c r="BV42" s="150" t="s">
        <v>119</v>
      </c>
      <c r="BW42" s="151">
        <v>703</v>
      </c>
      <c r="BX42" s="147">
        <v>707</v>
      </c>
      <c r="BY42" s="147">
        <v>928</v>
      </c>
      <c r="BZ42" s="147">
        <v>1300</v>
      </c>
      <c r="CA42" s="152">
        <v>1558</v>
      </c>
    </row>
    <row r="43" spans="1:79" s="157" customFormat="1" x14ac:dyDescent="0.25">
      <c r="A43" s="153" t="s">
        <v>120</v>
      </c>
      <c r="B43" s="497">
        <v>52200</v>
      </c>
      <c r="C43" s="154">
        <v>365</v>
      </c>
      <c r="D43" s="155">
        <v>391</v>
      </c>
      <c r="E43" s="155">
        <v>470</v>
      </c>
      <c r="F43" s="155">
        <v>543</v>
      </c>
      <c r="G43" s="156">
        <v>605</v>
      </c>
      <c r="H43" s="154">
        <v>548</v>
      </c>
      <c r="I43" s="155">
        <v>587</v>
      </c>
      <c r="J43" s="155">
        <v>705</v>
      </c>
      <c r="K43" s="155">
        <v>814</v>
      </c>
      <c r="L43" s="155">
        <v>909</v>
      </c>
      <c r="M43" s="154">
        <v>731</v>
      </c>
      <c r="N43" s="155">
        <v>783</v>
      </c>
      <c r="O43" s="155">
        <v>940</v>
      </c>
      <c r="P43" s="155">
        <v>1086</v>
      </c>
      <c r="Q43" s="156">
        <v>1212</v>
      </c>
      <c r="R43" s="154">
        <v>913</v>
      </c>
      <c r="S43" s="155">
        <v>979</v>
      </c>
      <c r="T43" s="155">
        <v>1175</v>
      </c>
      <c r="U43" s="155">
        <v>1357</v>
      </c>
      <c r="V43" s="155">
        <v>1515</v>
      </c>
      <c r="W43" s="154">
        <v>1096</v>
      </c>
      <c r="X43" s="155">
        <v>1175</v>
      </c>
      <c r="Y43" s="155">
        <v>1410</v>
      </c>
      <c r="Z43" s="155">
        <v>1629</v>
      </c>
      <c r="AA43" s="156">
        <v>1818</v>
      </c>
      <c r="AB43" s="154">
        <v>1279</v>
      </c>
      <c r="AC43" s="155">
        <v>1371</v>
      </c>
      <c r="AD43" s="155">
        <v>1645</v>
      </c>
      <c r="AE43" s="155">
        <v>1900</v>
      </c>
      <c r="AF43" s="156">
        <v>2121</v>
      </c>
      <c r="AG43" s="154">
        <v>1462</v>
      </c>
      <c r="AH43" s="155">
        <v>1567</v>
      </c>
      <c r="AI43" s="155">
        <v>1880</v>
      </c>
      <c r="AJ43" s="155">
        <v>2172</v>
      </c>
      <c r="AK43" s="156">
        <v>2424</v>
      </c>
      <c r="AL43"/>
      <c r="AM43" s="154">
        <v>548</v>
      </c>
      <c r="AN43" s="155">
        <v>587</v>
      </c>
      <c r="AO43" s="155">
        <v>705</v>
      </c>
      <c r="AP43" s="155">
        <v>872</v>
      </c>
      <c r="AQ43" s="156">
        <v>1078</v>
      </c>
      <c r="AR43"/>
      <c r="AS43" s="154">
        <v>548</v>
      </c>
      <c r="AT43" s="155">
        <v>587</v>
      </c>
      <c r="AU43" s="155">
        <v>705</v>
      </c>
      <c r="AV43" s="155">
        <v>872</v>
      </c>
      <c r="AW43" s="156">
        <v>1078</v>
      </c>
      <c r="AX43" s="154">
        <v>913</v>
      </c>
      <c r="AY43" s="155">
        <v>979</v>
      </c>
      <c r="AZ43" s="155">
        <v>1175</v>
      </c>
      <c r="BA43" s="155">
        <v>1357</v>
      </c>
      <c r="BB43" s="156">
        <v>1515</v>
      </c>
      <c r="BC43" s="154">
        <v>1462</v>
      </c>
      <c r="BD43" s="155">
        <v>1567</v>
      </c>
      <c r="BE43" s="155">
        <v>1880</v>
      </c>
      <c r="BF43" s="155">
        <v>2172</v>
      </c>
      <c r="BG43" s="156">
        <v>2424</v>
      </c>
      <c r="BH43"/>
      <c r="BI43" s="154">
        <v>703</v>
      </c>
      <c r="BJ43" s="155">
        <v>707</v>
      </c>
      <c r="BK43" s="155">
        <v>928</v>
      </c>
      <c r="BL43" s="155">
        <v>1187</v>
      </c>
      <c r="BM43" s="156">
        <v>1558</v>
      </c>
      <c r="BN43"/>
      <c r="BO43" s="153" t="s">
        <v>120</v>
      </c>
      <c r="BP43" s="154">
        <v>703</v>
      </c>
      <c r="BQ43" s="155">
        <v>707</v>
      </c>
      <c r="BR43" s="155">
        <v>928</v>
      </c>
      <c r="BS43" s="155">
        <v>1187</v>
      </c>
      <c r="BT43" s="156">
        <v>1515</v>
      </c>
      <c r="BU43"/>
      <c r="BV43" s="153" t="s">
        <v>120</v>
      </c>
      <c r="BW43" s="154">
        <v>703</v>
      </c>
      <c r="BX43" s="155">
        <v>707</v>
      </c>
      <c r="BY43" s="155">
        <v>928</v>
      </c>
      <c r="BZ43" s="155">
        <v>1187</v>
      </c>
      <c r="CA43" s="156">
        <v>1558</v>
      </c>
    </row>
    <row r="44" spans="1:79" x14ac:dyDescent="0.25">
      <c r="A44" s="150" t="s">
        <v>121</v>
      </c>
      <c r="B44" s="496">
        <v>52400</v>
      </c>
      <c r="C44" s="151">
        <v>367</v>
      </c>
      <c r="D44" s="147">
        <v>393</v>
      </c>
      <c r="E44" s="147">
        <v>472</v>
      </c>
      <c r="F44" s="147">
        <v>545</v>
      </c>
      <c r="G44" s="152">
        <v>608</v>
      </c>
      <c r="H44" s="151">
        <v>550</v>
      </c>
      <c r="I44" s="147">
        <v>589</v>
      </c>
      <c r="J44" s="147">
        <v>708</v>
      </c>
      <c r="K44" s="147">
        <v>817</v>
      </c>
      <c r="L44" s="147">
        <v>912</v>
      </c>
      <c r="M44" s="151">
        <v>734</v>
      </c>
      <c r="N44" s="147">
        <v>786</v>
      </c>
      <c r="O44" s="147">
        <v>944</v>
      </c>
      <c r="P44" s="147">
        <v>1090</v>
      </c>
      <c r="Q44" s="152">
        <v>1216</v>
      </c>
      <c r="R44" s="151">
        <v>917</v>
      </c>
      <c r="S44" s="147">
        <v>983</v>
      </c>
      <c r="T44" s="147">
        <v>1180</v>
      </c>
      <c r="U44" s="147">
        <v>1362</v>
      </c>
      <c r="V44" s="147">
        <v>1520</v>
      </c>
      <c r="W44" s="151">
        <v>1101</v>
      </c>
      <c r="X44" s="147">
        <v>1179</v>
      </c>
      <c r="Y44" s="147">
        <v>1416</v>
      </c>
      <c r="Z44" s="147">
        <v>1635</v>
      </c>
      <c r="AA44" s="152">
        <v>1824</v>
      </c>
      <c r="AB44" s="151">
        <v>1284</v>
      </c>
      <c r="AC44" s="147">
        <v>1376</v>
      </c>
      <c r="AD44" s="147">
        <v>1652</v>
      </c>
      <c r="AE44" s="147">
        <v>1907</v>
      </c>
      <c r="AF44" s="152">
        <v>2128</v>
      </c>
      <c r="AG44" s="151">
        <v>1468</v>
      </c>
      <c r="AH44" s="147">
        <v>1573</v>
      </c>
      <c r="AI44" s="147">
        <v>1888</v>
      </c>
      <c r="AJ44" s="147">
        <v>2180</v>
      </c>
      <c r="AK44" s="152">
        <v>2432</v>
      </c>
      <c r="AM44" s="151">
        <v>551</v>
      </c>
      <c r="AN44" s="147">
        <v>590</v>
      </c>
      <c r="AO44" s="147">
        <v>708</v>
      </c>
      <c r="AP44" s="147">
        <v>872</v>
      </c>
      <c r="AQ44" s="152">
        <v>1078</v>
      </c>
      <c r="AS44" s="151">
        <v>550</v>
      </c>
      <c r="AT44" s="147">
        <v>589</v>
      </c>
      <c r="AU44" s="147">
        <v>708</v>
      </c>
      <c r="AV44" s="147">
        <v>872</v>
      </c>
      <c r="AW44" s="152">
        <v>1078</v>
      </c>
      <c r="AX44" s="151">
        <v>917</v>
      </c>
      <c r="AY44" s="147">
        <v>983</v>
      </c>
      <c r="AZ44" s="147">
        <v>1180</v>
      </c>
      <c r="BA44" s="147">
        <v>1362</v>
      </c>
      <c r="BB44" s="152">
        <v>1520</v>
      </c>
      <c r="BC44" s="151">
        <v>1468</v>
      </c>
      <c r="BD44" s="147">
        <v>1573</v>
      </c>
      <c r="BE44" s="147">
        <v>1888</v>
      </c>
      <c r="BF44" s="147">
        <v>2180</v>
      </c>
      <c r="BG44" s="152">
        <v>2432</v>
      </c>
      <c r="BI44" s="151">
        <v>767</v>
      </c>
      <c r="BJ44" s="147">
        <v>771</v>
      </c>
      <c r="BK44" s="147">
        <v>928</v>
      </c>
      <c r="BL44" s="147">
        <v>1283</v>
      </c>
      <c r="BM44" s="152">
        <v>1558</v>
      </c>
      <c r="BO44" s="150" t="s">
        <v>121</v>
      </c>
      <c r="BP44" s="151">
        <v>767</v>
      </c>
      <c r="BQ44" s="147">
        <v>771</v>
      </c>
      <c r="BR44" s="147">
        <v>928</v>
      </c>
      <c r="BS44" s="147">
        <v>1283</v>
      </c>
      <c r="BT44" s="152">
        <v>1520</v>
      </c>
      <c r="BV44" s="150" t="s">
        <v>121</v>
      </c>
      <c r="BW44" s="151">
        <v>767</v>
      </c>
      <c r="BX44" s="147">
        <v>771</v>
      </c>
      <c r="BY44" s="147">
        <v>928</v>
      </c>
      <c r="BZ44" s="147">
        <v>1283</v>
      </c>
      <c r="CA44" s="152">
        <v>1558</v>
      </c>
    </row>
    <row r="45" spans="1:79" s="157" customFormat="1" x14ac:dyDescent="0.25">
      <c r="A45" s="153" t="s">
        <v>122</v>
      </c>
      <c r="B45" s="497">
        <v>52200</v>
      </c>
      <c r="C45" s="154">
        <v>365</v>
      </c>
      <c r="D45" s="155">
        <v>391</v>
      </c>
      <c r="E45" s="155">
        <v>470</v>
      </c>
      <c r="F45" s="155">
        <v>543</v>
      </c>
      <c r="G45" s="156">
        <v>605</v>
      </c>
      <c r="H45" s="154">
        <v>548</v>
      </c>
      <c r="I45" s="155">
        <v>587</v>
      </c>
      <c r="J45" s="155">
        <v>705</v>
      </c>
      <c r="K45" s="155">
        <v>814</v>
      </c>
      <c r="L45" s="155">
        <v>909</v>
      </c>
      <c r="M45" s="154">
        <v>731</v>
      </c>
      <c r="N45" s="155">
        <v>783</v>
      </c>
      <c r="O45" s="155">
        <v>940</v>
      </c>
      <c r="P45" s="155">
        <v>1086</v>
      </c>
      <c r="Q45" s="156">
        <v>1212</v>
      </c>
      <c r="R45" s="154">
        <v>913</v>
      </c>
      <c r="S45" s="155">
        <v>979</v>
      </c>
      <c r="T45" s="155">
        <v>1175</v>
      </c>
      <c r="U45" s="155">
        <v>1357</v>
      </c>
      <c r="V45" s="155">
        <v>1515</v>
      </c>
      <c r="W45" s="154">
        <v>1096</v>
      </c>
      <c r="X45" s="155">
        <v>1175</v>
      </c>
      <c r="Y45" s="155">
        <v>1410</v>
      </c>
      <c r="Z45" s="155">
        <v>1629</v>
      </c>
      <c r="AA45" s="156">
        <v>1818</v>
      </c>
      <c r="AB45" s="154">
        <v>1279</v>
      </c>
      <c r="AC45" s="155">
        <v>1371</v>
      </c>
      <c r="AD45" s="155">
        <v>1645</v>
      </c>
      <c r="AE45" s="155">
        <v>1900</v>
      </c>
      <c r="AF45" s="156">
        <v>2121</v>
      </c>
      <c r="AG45" s="154">
        <v>1462</v>
      </c>
      <c r="AH45" s="155">
        <v>1567</v>
      </c>
      <c r="AI45" s="155">
        <v>1880</v>
      </c>
      <c r="AJ45" s="155">
        <v>2172</v>
      </c>
      <c r="AK45" s="156">
        <v>2424</v>
      </c>
      <c r="AL45"/>
      <c r="AM45" s="154">
        <v>548</v>
      </c>
      <c r="AN45" s="155">
        <v>587</v>
      </c>
      <c r="AO45" s="155">
        <v>705</v>
      </c>
      <c r="AP45" s="155">
        <v>872</v>
      </c>
      <c r="AQ45" s="156">
        <v>1078</v>
      </c>
      <c r="AR45"/>
      <c r="AS45" s="154">
        <v>548</v>
      </c>
      <c r="AT45" s="155">
        <v>587</v>
      </c>
      <c r="AU45" s="155">
        <v>705</v>
      </c>
      <c r="AV45" s="155">
        <v>872</v>
      </c>
      <c r="AW45" s="156">
        <v>1078</v>
      </c>
      <c r="AX45" s="154">
        <v>913</v>
      </c>
      <c r="AY45" s="155">
        <v>979</v>
      </c>
      <c r="AZ45" s="155">
        <v>1175</v>
      </c>
      <c r="BA45" s="155">
        <v>1357</v>
      </c>
      <c r="BB45" s="156">
        <v>1515</v>
      </c>
      <c r="BC45" s="154">
        <v>1462</v>
      </c>
      <c r="BD45" s="155">
        <v>1567</v>
      </c>
      <c r="BE45" s="155">
        <v>1880</v>
      </c>
      <c r="BF45" s="155">
        <v>2172</v>
      </c>
      <c r="BG45" s="156">
        <v>2424</v>
      </c>
      <c r="BH45"/>
      <c r="BI45" s="154">
        <v>756</v>
      </c>
      <c r="BJ45" s="155">
        <v>761</v>
      </c>
      <c r="BK45" s="155">
        <v>932</v>
      </c>
      <c r="BL45" s="155">
        <v>1306</v>
      </c>
      <c r="BM45" s="156">
        <v>1565</v>
      </c>
      <c r="BN45"/>
      <c r="BO45" s="153" t="s">
        <v>122</v>
      </c>
      <c r="BP45" s="154">
        <v>756</v>
      </c>
      <c r="BQ45" s="155">
        <v>761</v>
      </c>
      <c r="BR45" s="155">
        <v>932</v>
      </c>
      <c r="BS45" s="155">
        <v>1306</v>
      </c>
      <c r="BT45" s="156">
        <v>1515</v>
      </c>
      <c r="BU45"/>
      <c r="BV45" s="153" t="s">
        <v>122</v>
      </c>
      <c r="BW45" s="154">
        <v>756</v>
      </c>
      <c r="BX45" s="155">
        <v>761</v>
      </c>
      <c r="BY45" s="155">
        <v>932</v>
      </c>
      <c r="BZ45" s="155">
        <v>1306</v>
      </c>
      <c r="CA45" s="156">
        <v>1565</v>
      </c>
    </row>
    <row r="46" spans="1:79" x14ac:dyDescent="0.25">
      <c r="A46" s="150" t="s">
        <v>123</v>
      </c>
      <c r="B46" s="496">
        <v>52200</v>
      </c>
      <c r="C46" s="151">
        <v>365</v>
      </c>
      <c r="D46" s="147">
        <v>391</v>
      </c>
      <c r="E46" s="147">
        <v>470</v>
      </c>
      <c r="F46" s="147">
        <v>543</v>
      </c>
      <c r="G46" s="152">
        <v>605</v>
      </c>
      <c r="H46" s="151">
        <v>548</v>
      </c>
      <c r="I46" s="147">
        <v>587</v>
      </c>
      <c r="J46" s="147">
        <v>705</v>
      </c>
      <c r="K46" s="147">
        <v>814</v>
      </c>
      <c r="L46" s="147">
        <v>909</v>
      </c>
      <c r="M46" s="151">
        <v>731</v>
      </c>
      <c r="N46" s="147">
        <v>783</v>
      </c>
      <c r="O46" s="147">
        <v>940</v>
      </c>
      <c r="P46" s="147">
        <v>1086</v>
      </c>
      <c r="Q46" s="152">
        <v>1212</v>
      </c>
      <c r="R46" s="151">
        <v>913</v>
      </c>
      <c r="S46" s="147">
        <v>979</v>
      </c>
      <c r="T46" s="147">
        <v>1175</v>
      </c>
      <c r="U46" s="147">
        <v>1357</v>
      </c>
      <c r="V46" s="147">
        <v>1515</v>
      </c>
      <c r="W46" s="151">
        <v>1096</v>
      </c>
      <c r="X46" s="147">
        <v>1175</v>
      </c>
      <c r="Y46" s="147">
        <v>1410</v>
      </c>
      <c r="Z46" s="147">
        <v>1629</v>
      </c>
      <c r="AA46" s="152">
        <v>1818</v>
      </c>
      <c r="AB46" s="151">
        <v>1279</v>
      </c>
      <c r="AC46" s="147">
        <v>1371</v>
      </c>
      <c r="AD46" s="147">
        <v>1645</v>
      </c>
      <c r="AE46" s="147">
        <v>1900</v>
      </c>
      <c r="AF46" s="152">
        <v>2121</v>
      </c>
      <c r="AG46" s="151">
        <v>1462</v>
      </c>
      <c r="AH46" s="147">
        <v>1567</v>
      </c>
      <c r="AI46" s="147">
        <v>1880</v>
      </c>
      <c r="AJ46" s="147">
        <v>2172</v>
      </c>
      <c r="AK46" s="152">
        <v>2424</v>
      </c>
      <c r="AM46" s="151">
        <v>548</v>
      </c>
      <c r="AN46" s="147">
        <v>587</v>
      </c>
      <c r="AO46" s="147">
        <v>705</v>
      </c>
      <c r="AP46" s="147">
        <v>872</v>
      </c>
      <c r="AQ46" s="152">
        <v>1078</v>
      </c>
      <c r="AS46" s="151">
        <v>548</v>
      </c>
      <c r="AT46" s="147">
        <v>587</v>
      </c>
      <c r="AU46" s="147">
        <v>705</v>
      </c>
      <c r="AV46" s="147">
        <v>872</v>
      </c>
      <c r="AW46" s="152">
        <v>1078</v>
      </c>
      <c r="AX46" s="151">
        <v>913</v>
      </c>
      <c r="AY46" s="147">
        <v>979</v>
      </c>
      <c r="AZ46" s="147">
        <v>1175</v>
      </c>
      <c r="BA46" s="147">
        <v>1357</v>
      </c>
      <c r="BB46" s="152">
        <v>1515</v>
      </c>
      <c r="BC46" s="151">
        <v>1462</v>
      </c>
      <c r="BD46" s="147">
        <v>1567</v>
      </c>
      <c r="BE46" s="147">
        <v>1880</v>
      </c>
      <c r="BF46" s="147">
        <v>2172</v>
      </c>
      <c r="BG46" s="152">
        <v>2424</v>
      </c>
      <c r="BI46" s="151">
        <v>807</v>
      </c>
      <c r="BJ46" s="147">
        <v>814</v>
      </c>
      <c r="BK46" s="147">
        <v>928</v>
      </c>
      <c r="BL46" s="147">
        <v>1150</v>
      </c>
      <c r="BM46" s="152">
        <v>1402</v>
      </c>
      <c r="BO46" s="150" t="s">
        <v>123</v>
      </c>
      <c r="BP46" s="151">
        <v>807</v>
      </c>
      <c r="BQ46" s="147">
        <v>814</v>
      </c>
      <c r="BR46" s="147">
        <v>928</v>
      </c>
      <c r="BS46" s="147">
        <v>1150</v>
      </c>
      <c r="BT46" s="152">
        <v>1402</v>
      </c>
      <c r="BV46" s="150" t="s">
        <v>123</v>
      </c>
      <c r="BW46" s="151">
        <v>807</v>
      </c>
      <c r="BX46" s="147">
        <v>814</v>
      </c>
      <c r="BY46" s="147">
        <v>928</v>
      </c>
      <c r="BZ46" s="147">
        <v>1150</v>
      </c>
      <c r="CA46" s="152">
        <v>1402</v>
      </c>
    </row>
    <row r="47" spans="1:79" s="157" customFormat="1" x14ac:dyDescent="0.25">
      <c r="A47" s="153" t="s">
        <v>124</v>
      </c>
      <c r="B47" s="497">
        <v>52200</v>
      </c>
      <c r="C47" s="154">
        <v>365</v>
      </c>
      <c r="D47" s="155">
        <v>391</v>
      </c>
      <c r="E47" s="155">
        <v>470</v>
      </c>
      <c r="F47" s="155">
        <v>543</v>
      </c>
      <c r="G47" s="156">
        <v>605</v>
      </c>
      <c r="H47" s="154">
        <v>548</v>
      </c>
      <c r="I47" s="155">
        <v>587</v>
      </c>
      <c r="J47" s="155">
        <v>705</v>
      </c>
      <c r="K47" s="155">
        <v>814</v>
      </c>
      <c r="L47" s="155">
        <v>909</v>
      </c>
      <c r="M47" s="154">
        <v>731</v>
      </c>
      <c r="N47" s="155">
        <v>783</v>
      </c>
      <c r="O47" s="155">
        <v>940</v>
      </c>
      <c r="P47" s="155">
        <v>1086</v>
      </c>
      <c r="Q47" s="156">
        <v>1212</v>
      </c>
      <c r="R47" s="154">
        <v>913</v>
      </c>
      <c r="S47" s="155">
        <v>979</v>
      </c>
      <c r="T47" s="155">
        <v>1175</v>
      </c>
      <c r="U47" s="155">
        <v>1357</v>
      </c>
      <c r="V47" s="155">
        <v>1515</v>
      </c>
      <c r="W47" s="154">
        <v>1096</v>
      </c>
      <c r="X47" s="155">
        <v>1175</v>
      </c>
      <c r="Y47" s="155">
        <v>1410</v>
      </c>
      <c r="Z47" s="155">
        <v>1629</v>
      </c>
      <c r="AA47" s="156">
        <v>1818</v>
      </c>
      <c r="AB47" s="154">
        <v>1279</v>
      </c>
      <c r="AC47" s="155">
        <v>1371</v>
      </c>
      <c r="AD47" s="155">
        <v>1645</v>
      </c>
      <c r="AE47" s="155">
        <v>1900</v>
      </c>
      <c r="AF47" s="156">
        <v>2121</v>
      </c>
      <c r="AG47" s="154">
        <v>1462</v>
      </c>
      <c r="AH47" s="155">
        <v>1567</v>
      </c>
      <c r="AI47" s="155">
        <v>1880</v>
      </c>
      <c r="AJ47" s="155">
        <v>2172</v>
      </c>
      <c r="AK47" s="156">
        <v>2424</v>
      </c>
      <c r="AL47"/>
      <c r="AM47" s="154">
        <v>548</v>
      </c>
      <c r="AN47" s="155">
        <v>587</v>
      </c>
      <c r="AO47" s="155">
        <v>705</v>
      </c>
      <c r="AP47" s="155">
        <v>872</v>
      </c>
      <c r="AQ47" s="156">
        <v>1078</v>
      </c>
      <c r="AR47"/>
      <c r="AS47" s="154">
        <v>548</v>
      </c>
      <c r="AT47" s="155">
        <v>587</v>
      </c>
      <c r="AU47" s="155">
        <v>705</v>
      </c>
      <c r="AV47" s="155">
        <v>872</v>
      </c>
      <c r="AW47" s="156">
        <v>1078</v>
      </c>
      <c r="AX47" s="154">
        <v>913</v>
      </c>
      <c r="AY47" s="155">
        <v>979</v>
      </c>
      <c r="AZ47" s="155">
        <v>1175</v>
      </c>
      <c r="BA47" s="155">
        <v>1357</v>
      </c>
      <c r="BB47" s="156">
        <v>1515</v>
      </c>
      <c r="BC47" s="154">
        <v>1462</v>
      </c>
      <c r="BD47" s="155">
        <v>1567</v>
      </c>
      <c r="BE47" s="155">
        <v>1880</v>
      </c>
      <c r="BF47" s="155">
        <v>2172</v>
      </c>
      <c r="BG47" s="156">
        <v>2424</v>
      </c>
      <c r="BH47"/>
      <c r="BI47" s="154">
        <v>756</v>
      </c>
      <c r="BJ47" s="155">
        <v>761</v>
      </c>
      <c r="BK47" s="155">
        <v>932</v>
      </c>
      <c r="BL47" s="155">
        <v>1306</v>
      </c>
      <c r="BM47" s="156">
        <v>1565</v>
      </c>
      <c r="BN47"/>
      <c r="BO47" s="153" t="s">
        <v>124</v>
      </c>
      <c r="BP47" s="154">
        <v>756</v>
      </c>
      <c r="BQ47" s="155">
        <v>761</v>
      </c>
      <c r="BR47" s="155">
        <v>932</v>
      </c>
      <c r="BS47" s="155">
        <v>1306</v>
      </c>
      <c r="BT47" s="156">
        <v>1515</v>
      </c>
      <c r="BU47"/>
      <c r="BV47" s="153" t="s">
        <v>124</v>
      </c>
      <c r="BW47" s="154">
        <v>756</v>
      </c>
      <c r="BX47" s="155">
        <v>761</v>
      </c>
      <c r="BY47" s="155">
        <v>932</v>
      </c>
      <c r="BZ47" s="155">
        <v>1306</v>
      </c>
      <c r="CA47" s="156">
        <v>1565</v>
      </c>
    </row>
    <row r="48" spans="1:79" x14ac:dyDescent="0.25">
      <c r="A48" s="150" t="s">
        <v>125</v>
      </c>
      <c r="B48" s="496">
        <v>54650</v>
      </c>
      <c r="C48" s="151">
        <v>383</v>
      </c>
      <c r="D48" s="147">
        <v>410</v>
      </c>
      <c r="E48" s="147">
        <v>492</v>
      </c>
      <c r="F48" s="147">
        <v>568</v>
      </c>
      <c r="G48" s="152">
        <v>634</v>
      </c>
      <c r="H48" s="151">
        <v>574</v>
      </c>
      <c r="I48" s="147">
        <v>615</v>
      </c>
      <c r="J48" s="147">
        <v>738</v>
      </c>
      <c r="K48" s="147">
        <v>852</v>
      </c>
      <c r="L48" s="147">
        <v>951</v>
      </c>
      <c r="M48" s="151">
        <v>766</v>
      </c>
      <c r="N48" s="147">
        <v>820</v>
      </c>
      <c r="O48" s="147">
        <v>984</v>
      </c>
      <c r="P48" s="147">
        <v>1137</v>
      </c>
      <c r="Q48" s="152">
        <v>1268</v>
      </c>
      <c r="R48" s="151">
        <v>957</v>
      </c>
      <c r="S48" s="147">
        <v>1025</v>
      </c>
      <c r="T48" s="147">
        <v>1230</v>
      </c>
      <c r="U48" s="147">
        <v>1421</v>
      </c>
      <c r="V48" s="147">
        <v>1585</v>
      </c>
      <c r="W48" s="151">
        <v>1149</v>
      </c>
      <c r="X48" s="147">
        <v>1230</v>
      </c>
      <c r="Y48" s="147">
        <v>1476</v>
      </c>
      <c r="Z48" s="147">
        <v>1705</v>
      </c>
      <c r="AA48" s="152">
        <v>1902</v>
      </c>
      <c r="AB48" s="151">
        <v>1340</v>
      </c>
      <c r="AC48" s="147">
        <v>1435</v>
      </c>
      <c r="AD48" s="147">
        <v>1722</v>
      </c>
      <c r="AE48" s="147">
        <v>1989</v>
      </c>
      <c r="AF48" s="152">
        <v>2219</v>
      </c>
      <c r="AG48" s="151">
        <v>1532</v>
      </c>
      <c r="AH48" s="147">
        <v>1641</v>
      </c>
      <c r="AI48" s="147">
        <v>1968</v>
      </c>
      <c r="AJ48" s="147">
        <v>2274</v>
      </c>
      <c r="AK48" s="152">
        <v>2536</v>
      </c>
      <c r="AM48" s="151">
        <v>575</v>
      </c>
      <c r="AN48" s="147">
        <v>615</v>
      </c>
      <c r="AO48" s="147">
        <v>738</v>
      </c>
      <c r="AP48" s="147">
        <v>872</v>
      </c>
      <c r="AQ48" s="152">
        <v>1078</v>
      </c>
      <c r="AS48" s="151">
        <v>574</v>
      </c>
      <c r="AT48" s="147">
        <v>615</v>
      </c>
      <c r="AU48" s="147">
        <v>738</v>
      </c>
      <c r="AV48" s="147">
        <v>880</v>
      </c>
      <c r="AW48" s="152">
        <v>1078</v>
      </c>
      <c r="AX48" s="151">
        <v>957</v>
      </c>
      <c r="AY48" s="147">
        <v>1025</v>
      </c>
      <c r="AZ48" s="147">
        <v>1230</v>
      </c>
      <c r="BA48" s="147">
        <v>1421</v>
      </c>
      <c r="BB48" s="152">
        <v>1585</v>
      </c>
      <c r="BC48" s="151">
        <v>1532</v>
      </c>
      <c r="BD48" s="147">
        <v>1641</v>
      </c>
      <c r="BE48" s="147">
        <v>1968</v>
      </c>
      <c r="BF48" s="147">
        <v>2274</v>
      </c>
      <c r="BG48" s="152">
        <v>2536</v>
      </c>
      <c r="BI48" s="151">
        <v>850</v>
      </c>
      <c r="BJ48" s="147">
        <v>855</v>
      </c>
      <c r="BK48" s="147">
        <v>1020</v>
      </c>
      <c r="BL48" s="147">
        <v>1429</v>
      </c>
      <c r="BM48" s="152">
        <v>1713</v>
      </c>
      <c r="BO48" s="150" t="s">
        <v>125</v>
      </c>
      <c r="BP48" s="151">
        <v>850</v>
      </c>
      <c r="BQ48" s="147">
        <v>855</v>
      </c>
      <c r="BR48" s="147">
        <v>1020</v>
      </c>
      <c r="BS48" s="147">
        <v>1425</v>
      </c>
      <c r="BT48" s="152">
        <v>1590</v>
      </c>
      <c r="BV48" s="150" t="s">
        <v>125</v>
      </c>
      <c r="BW48" s="151">
        <v>850</v>
      </c>
      <c r="BX48" s="147">
        <v>855</v>
      </c>
      <c r="BY48" s="147">
        <v>1020</v>
      </c>
      <c r="BZ48" s="147">
        <v>1429</v>
      </c>
      <c r="CA48" s="152">
        <v>1713</v>
      </c>
    </row>
    <row r="49" spans="1:79" s="157" customFormat="1" x14ac:dyDescent="0.25">
      <c r="A49" s="153" t="s">
        <v>126</v>
      </c>
      <c r="B49" s="497">
        <v>55500</v>
      </c>
      <c r="C49" s="154">
        <v>388</v>
      </c>
      <c r="D49" s="155">
        <v>416</v>
      </c>
      <c r="E49" s="155">
        <v>499</v>
      </c>
      <c r="F49" s="155">
        <v>577</v>
      </c>
      <c r="G49" s="156">
        <v>644</v>
      </c>
      <c r="H49" s="154">
        <v>582</v>
      </c>
      <c r="I49" s="155">
        <v>624</v>
      </c>
      <c r="J49" s="155">
        <v>749</v>
      </c>
      <c r="K49" s="155">
        <v>865</v>
      </c>
      <c r="L49" s="155">
        <v>966</v>
      </c>
      <c r="M49" s="154">
        <v>777</v>
      </c>
      <c r="N49" s="155">
        <v>832</v>
      </c>
      <c r="O49" s="155">
        <v>999</v>
      </c>
      <c r="P49" s="155">
        <v>1154</v>
      </c>
      <c r="Q49" s="156">
        <v>1288</v>
      </c>
      <c r="R49" s="154">
        <v>971</v>
      </c>
      <c r="S49" s="155">
        <v>1040</v>
      </c>
      <c r="T49" s="155">
        <v>1248</v>
      </c>
      <c r="U49" s="155">
        <v>1443</v>
      </c>
      <c r="V49" s="155">
        <v>1610</v>
      </c>
      <c r="W49" s="154">
        <v>1165</v>
      </c>
      <c r="X49" s="155">
        <v>1248</v>
      </c>
      <c r="Y49" s="155">
        <v>1498</v>
      </c>
      <c r="Z49" s="155">
        <v>1731</v>
      </c>
      <c r="AA49" s="156">
        <v>1932</v>
      </c>
      <c r="AB49" s="154">
        <v>1359</v>
      </c>
      <c r="AC49" s="155">
        <v>1456</v>
      </c>
      <c r="AD49" s="155">
        <v>1748</v>
      </c>
      <c r="AE49" s="155">
        <v>2020</v>
      </c>
      <c r="AF49" s="156">
        <v>2254</v>
      </c>
      <c r="AG49" s="154">
        <v>1554</v>
      </c>
      <c r="AH49" s="155">
        <v>1665</v>
      </c>
      <c r="AI49" s="155">
        <v>1998</v>
      </c>
      <c r="AJ49" s="155">
        <v>2309</v>
      </c>
      <c r="AK49" s="156">
        <v>2576</v>
      </c>
      <c r="AL49"/>
      <c r="AM49" s="154">
        <v>583</v>
      </c>
      <c r="AN49" s="155">
        <v>625</v>
      </c>
      <c r="AO49" s="155">
        <v>750</v>
      </c>
      <c r="AP49" s="155">
        <v>872</v>
      </c>
      <c r="AQ49" s="156">
        <v>1078</v>
      </c>
      <c r="AR49"/>
      <c r="AS49" s="154">
        <v>582</v>
      </c>
      <c r="AT49" s="155">
        <v>624</v>
      </c>
      <c r="AU49" s="155">
        <v>749</v>
      </c>
      <c r="AV49" s="155">
        <v>886</v>
      </c>
      <c r="AW49" s="156">
        <v>1078</v>
      </c>
      <c r="AX49" s="154">
        <v>971</v>
      </c>
      <c r="AY49" s="155">
        <v>1040</v>
      </c>
      <c r="AZ49" s="155">
        <v>1248</v>
      </c>
      <c r="BA49" s="155">
        <v>1443</v>
      </c>
      <c r="BB49" s="156">
        <v>1610</v>
      </c>
      <c r="BC49" s="154">
        <v>1554</v>
      </c>
      <c r="BD49" s="155">
        <v>1665</v>
      </c>
      <c r="BE49" s="155">
        <v>1998</v>
      </c>
      <c r="BF49" s="155">
        <v>2309</v>
      </c>
      <c r="BG49" s="156">
        <v>2576</v>
      </c>
      <c r="BH49"/>
      <c r="BI49" s="154">
        <v>753</v>
      </c>
      <c r="BJ49" s="155">
        <v>758</v>
      </c>
      <c r="BK49" s="155">
        <v>928</v>
      </c>
      <c r="BL49" s="155">
        <v>1300</v>
      </c>
      <c r="BM49" s="156">
        <v>1558</v>
      </c>
      <c r="BN49"/>
      <c r="BO49" s="153" t="s">
        <v>126</v>
      </c>
      <c r="BP49" s="154">
        <v>753</v>
      </c>
      <c r="BQ49" s="155">
        <v>758</v>
      </c>
      <c r="BR49" s="155">
        <v>928</v>
      </c>
      <c r="BS49" s="155">
        <v>1300</v>
      </c>
      <c r="BT49" s="156">
        <v>1558</v>
      </c>
      <c r="BU49"/>
      <c r="BV49" s="153" t="s">
        <v>126</v>
      </c>
      <c r="BW49" s="154">
        <v>753</v>
      </c>
      <c r="BX49" s="155">
        <v>758</v>
      </c>
      <c r="BY49" s="155">
        <v>928</v>
      </c>
      <c r="BZ49" s="155">
        <v>1300</v>
      </c>
      <c r="CA49" s="156">
        <v>1558</v>
      </c>
    </row>
    <row r="50" spans="1:79" x14ac:dyDescent="0.25">
      <c r="A50" s="150" t="s">
        <v>127</v>
      </c>
      <c r="B50" s="496">
        <v>55400</v>
      </c>
      <c r="C50" s="151">
        <v>388</v>
      </c>
      <c r="D50" s="147">
        <v>415</v>
      </c>
      <c r="E50" s="147">
        <v>499</v>
      </c>
      <c r="F50" s="147">
        <v>576</v>
      </c>
      <c r="G50" s="152">
        <v>643</v>
      </c>
      <c r="H50" s="151">
        <v>582</v>
      </c>
      <c r="I50" s="147">
        <v>623</v>
      </c>
      <c r="J50" s="147">
        <v>748</v>
      </c>
      <c r="K50" s="147">
        <v>864</v>
      </c>
      <c r="L50" s="147">
        <v>964</v>
      </c>
      <c r="M50" s="151">
        <v>776</v>
      </c>
      <c r="N50" s="147">
        <v>831</v>
      </c>
      <c r="O50" s="147">
        <v>998</v>
      </c>
      <c r="P50" s="147">
        <v>1152</v>
      </c>
      <c r="Q50" s="152">
        <v>1286</v>
      </c>
      <c r="R50" s="151">
        <v>970</v>
      </c>
      <c r="S50" s="147">
        <v>1039</v>
      </c>
      <c r="T50" s="147">
        <v>1247</v>
      </c>
      <c r="U50" s="147">
        <v>1440</v>
      </c>
      <c r="V50" s="147">
        <v>1607</v>
      </c>
      <c r="W50" s="151">
        <v>1164</v>
      </c>
      <c r="X50" s="147">
        <v>1247</v>
      </c>
      <c r="Y50" s="147">
        <v>1497</v>
      </c>
      <c r="Z50" s="147">
        <v>1728</v>
      </c>
      <c r="AA50" s="152">
        <v>1929</v>
      </c>
      <c r="AB50" s="151">
        <v>1358</v>
      </c>
      <c r="AC50" s="147">
        <v>1455</v>
      </c>
      <c r="AD50" s="147">
        <v>1746</v>
      </c>
      <c r="AE50" s="147">
        <v>2016</v>
      </c>
      <c r="AF50" s="152">
        <v>2250</v>
      </c>
      <c r="AG50" s="151">
        <v>1552</v>
      </c>
      <c r="AH50" s="147">
        <v>1663</v>
      </c>
      <c r="AI50" s="147">
        <v>1996</v>
      </c>
      <c r="AJ50" s="147">
        <v>2305</v>
      </c>
      <c r="AK50" s="152">
        <v>2572</v>
      </c>
      <c r="AM50" s="151">
        <v>582</v>
      </c>
      <c r="AN50" s="147">
        <v>623</v>
      </c>
      <c r="AO50" s="147">
        <v>748</v>
      </c>
      <c r="AP50" s="147">
        <v>872</v>
      </c>
      <c r="AQ50" s="152">
        <v>1078</v>
      </c>
      <c r="AS50" s="151">
        <v>582</v>
      </c>
      <c r="AT50" s="147">
        <v>624</v>
      </c>
      <c r="AU50" s="147">
        <v>749</v>
      </c>
      <c r="AV50" s="147">
        <v>886</v>
      </c>
      <c r="AW50" s="152">
        <v>1078</v>
      </c>
      <c r="AX50" s="151">
        <v>971</v>
      </c>
      <c r="AY50" s="147">
        <v>1040</v>
      </c>
      <c r="AZ50" s="147">
        <v>1248</v>
      </c>
      <c r="BA50" s="147">
        <v>1441</v>
      </c>
      <c r="BB50" s="152">
        <v>1608</v>
      </c>
      <c r="BC50" s="151">
        <v>1554</v>
      </c>
      <c r="BD50" s="147">
        <v>1665</v>
      </c>
      <c r="BE50" s="147">
        <v>1998</v>
      </c>
      <c r="BF50" s="147">
        <v>2307</v>
      </c>
      <c r="BG50" s="152">
        <v>2574</v>
      </c>
      <c r="BI50" s="151">
        <v>708</v>
      </c>
      <c r="BJ50" s="147">
        <v>713</v>
      </c>
      <c r="BK50" s="147">
        <v>928</v>
      </c>
      <c r="BL50" s="147">
        <v>1300</v>
      </c>
      <c r="BM50" s="152">
        <v>1558</v>
      </c>
      <c r="BO50" s="150" t="s">
        <v>127</v>
      </c>
      <c r="BP50" s="151">
        <v>708</v>
      </c>
      <c r="BQ50" s="147">
        <v>713</v>
      </c>
      <c r="BR50" s="147">
        <v>928</v>
      </c>
      <c r="BS50" s="147">
        <v>1300</v>
      </c>
      <c r="BT50" s="152">
        <v>1558</v>
      </c>
      <c r="BV50" s="150" t="s">
        <v>127</v>
      </c>
      <c r="BW50" s="151">
        <v>708</v>
      </c>
      <c r="BX50" s="147">
        <v>713</v>
      </c>
      <c r="BY50" s="147">
        <v>928</v>
      </c>
      <c r="BZ50" s="147">
        <v>1300</v>
      </c>
      <c r="CA50" s="152">
        <v>1558</v>
      </c>
    </row>
    <row r="51" spans="1:79" s="157" customFormat="1" x14ac:dyDescent="0.25">
      <c r="A51" s="153" t="s">
        <v>128</v>
      </c>
      <c r="B51" s="497">
        <v>52200</v>
      </c>
      <c r="C51" s="154">
        <v>365</v>
      </c>
      <c r="D51" s="155">
        <v>391</v>
      </c>
      <c r="E51" s="155">
        <v>470</v>
      </c>
      <c r="F51" s="155">
        <v>543</v>
      </c>
      <c r="G51" s="156">
        <v>605</v>
      </c>
      <c r="H51" s="154">
        <v>548</v>
      </c>
      <c r="I51" s="155">
        <v>587</v>
      </c>
      <c r="J51" s="155">
        <v>705</v>
      </c>
      <c r="K51" s="155">
        <v>814</v>
      </c>
      <c r="L51" s="155">
        <v>909</v>
      </c>
      <c r="M51" s="154">
        <v>731</v>
      </c>
      <c r="N51" s="155">
        <v>783</v>
      </c>
      <c r="O51" s="155">
        <v>940</v>
      </c>
      <c r="P51" s="155">
        <v>1086</v>
      </c>
      <c r="Q51" s="156">
        <v>1212</v>
      </c>
      <c r="R51" s="154">
        <v>913</v>
      </c>
      <c r="S51" s="155">
        <v>979</v>
      </c>
      <c r="T51" s="155">
        <v>1175</v>
      </c>
      <c r="U51" s="155">
        <v>1357</v>
      </c>
      <c r="V51" s="155">
        <v>1515</v>
      </c>
      <c r="W51" s="154">
        <v>1096</v>
      </c>
      <c r="X51" s="155">
        <v>1175</v>
      </c>
      <c r="Y51" s="155">
        <v>1410</v>
      </c>
      <c r="Z51" s="155">
        <v>1629</v>
      </c>
      <c r="AA51" s="156">
        <v>1818</v>
      </c>
      <c r="AB51" s="154">
        <v>1279</v>
      </c>
      <c r="AC51" s="155">
        <v>1371</v>
      </c>
      <c r="AD51" s="155">
        <v>1645</v>
      </c>
      <c r="AE51" s="155">
        <v>1900</v>
      </c>
      <c r="AF51" s="156">
        <v>2121</v>
      </c>
      <c r="AG51" s="154">
        <v>1462</v>
      </c>
      <c r="AH51" s="155">
        <v>1567</v>
      </c>
      <c r="AI51" s="155">
        <v>1880</v>
      </c>
      <c r="AJ51" s="155">
        <v>2172</v>
      </c>
      <c r="AK51" s="156">
        <v>2424</v>
      </c>
      <c r="AL51"/>
      <c r="AM51" s="154">
        <v>548</v>
      </c>
      <c r="AN51" s="155">
        <v>587</v>
      </c>
      <c r="AO51" s="155">
        <v>705</v>
      </c>
      <c r="AP51" s="155">
        <v>872</v>
      </c>
      <c r="AQ51" s="156">
        <v>1078</v>
      </c>
      <c r="AR51"/>
      <c r="AS51" s="154">
        <v>548</v>
      </c>
      <c r="AT51" s="155">
        <v>587</v>
      </c>
      <c r="AU51" s="155">
        <v>705</v>
      </c>
      <c r="AV51" s="155">
        <v>872</v>
      </c>
      <c r="AW51" s="156">
        <v>1078</v>
      </c>
      <c r="AX51" s="154">
        <v>913</v>
      </c>
      <c r="AY51" s="155">
        <v>979</v>
      </c>
      <c r="AZ51" s="155">
        <v>1175</v>
      </c>
      <c r="BA51" s="155">
        <v>1357</v>
      </c>
      <c r="BB51" s="156">
        <v>1515</v>
      </c>
      <c r="BC51" s="154">
        <v>1462</v>
      </c>
      <c r="BD51" s="155">
        <v>1567</v>
      </c>
      <c r="BE51" s="155">
        <v>1880</v>
      </c>
      <c r="BF51" s="155">
        <v>2172</v>
      </c>
      <c r="BG51" s="156">
        <v>2424</v>
      </c>
      <c r="BH51"/>
      <c r="BI51" s="154">
        <v>753</v>
      </c>
      <c r="BJ51" s="155">
        <v>758</v>
      </c>
      <c r="BK51" s="155">
        <v>928</v>
      </c>
      <c r="BL51" s="155">
        <v>1300</v>
      </c>
      <c r="BM51" s="156">
        <v>1558</v>
      </c>
      <c r="BN51"/>
      <c r="BO51" s="153" t="s">
        <v>128</v>
      </c>
      <c r="BP51" s="154">
        <v>753</v>
      </c>
      <c r="BQ51" s="155">
        <v>758</v>
      </c>
      <c r="BR51" s="155">
        <v>928</v>
      </c>
      <c r="BS51" s="155">
        <v>1300</v>
      </c>
      <c r="BT51" s="156">
        <v>1515</v>
      </c>
      <c r="BU51"/>
      <c r="BV51" s="153" t="s">
        <v>128</v>
      </c>
      <c r="BW51" s="154">
        <v>753</v>
      </c>
      <c r="BX51" s="155">
        <v>758</v>
      </c>
      <c r="BY51" s="155">
        <v>928</v>
      </c>
      <c r="BZ51" s="155">
        <v>1300</v>
      </c>
      <c r="CA51" s="156">
        <v>1558</v>
      </c>
    </row>
    <row r="52" spans="1:79" x14ac:dyDescent="0.25">
      <c r="A52" s="150" t="s">
        <v>129</v>
      </c>
      <c r="B52" s="496">
        <v>60950</v>
      </c>
      <c r="C52" s="151">
        <v>427</v>
      </c>
      <c r="D52" s="147">
        <v>457</v>
      </c>
      <c r="E52" s="147">
        <v>549</v>
      </c>
      <c r="F52" s="147">
        <v>634</v>
      </c>
      <c r="G52" s="152">
        <v>707</v>
      </c>
      <c r="H52" s="151">
        <v>640</v>
      </c>
      <c r="I52" s="147">
        <v>686</v>
      </c>
      <c r="J52" s="147">
        <v>823</v>
      </c>
      <c r="K52" s="147">
        <v>951</v>
      </c>
      <c r="L52" s="147">
        <v>1061</v>
      </c>
      <c r="M52" s="151">
        <v>854</v>
      </c>
      <c r="N52" s="147">
        <v>915</v>
      </c>
      <c r="O52" s="147">
        <v>1098</v>
      </c>
      <c r="P52" s="147">
        <v>1268</v>
      </c>
      <c r="Q52" s="152">
        <v>1415</v>
      </c>
      <c r="R52" s="151">
        <v>1067</v>
      </c>
      <c r="S52" s="147">
        <v>1143</v>
      </c>
      <c r="T52" s="147">
        <v>1372</v>
      </c>
      <c r="U52" s="147">
        <v>1585</v>
      </c>
      <c r="V52" s="147">
        <v>1768</v>
      </c>
      <c r="W52" s="151">
        <v>1281</v>
      </c>
      <c r="X52" s="147">
        <v>1372</v>
      </c>
      <c r="Y52" s="147">
        <v>1647</v>
      </c>
      <c r="Z52" s="147">
        <v>1902</v>
      </c>
      <c r="AA52" s="152">
        <v>2122</v>
      </c>
      <c r="AB52" s="151">
        <v>1494</v>
      </c>
      <c r="AC52" s="147">
        <v>1601</v>
      </c>
      <c r="AD52" s="147">
        <v>1921</v>
      </c>
      <c r="AE52" s="147">
        <v>2219</v>
      </c>
      <c r="AF52" s="152">
        <v>2476</v>
      </c>
      <c r="AG52" s="151">
        <v>1708</v>
      </c>
      <c r="AH52" s="147">
        <v>1830</v>
      </c>
      <c r="AI52" s="147">
        <v>2196</v>
      </c>
      <c r="AJ52" s="147">
        <v>2536</v>
      </c>
      <c r="AK52" s="152">
        <v>2830</v>
      </c>
      <c r="AM52" s="151">
        <v>640</v>
      </c>
      <c r="AN52" s="147">
        <v>685</v>
      </c>
      <c r="AO52" s="147">
        <v>822</v>
      </c>
      <c r="AP52" s="147">
        <v>950</v>
      </c>
      <c r="AQ52" s="152">
        <v>1078</v>
      </c>
      <c r="AS52" s="151">
        <v>640</v>
      </c>
      <c r="AT52" s="147">
        <v>686</v>
      </c>
      <c r="AU52" s="147">
        <v>823</v>
      </c>
      <c r="AV52" s="147">
        <v>951</v>
      </c>
      <c r="AW52" s="152">
        <v>1078</v>
      </c>
      <c r="AX52" s="151">
        <v>1067</v>
      </c>
      <c r="AY52" s="147">
        <v>1143</v>
      </c>
      <c r="AZ52" s="147">
        <v>1372</v>
      </c>
      <c r="BA52" s="147">
        <v>1585</v>
      </c>
      <c r="BB52" s="152">
        <v>1768</v>
      </c>
      <c r="BC52" s="151">
        <v>1708</v>
      </c>
      <c r="BD52" s="147">
        <v>1830</v>
      </c>
      <c r="BE52" s="147">
        <v>2196</v>
      </c>
      <c r="BF52" s="147">
        <v>2536</v>
      </c>
      <c r="BG52" s="152">
        <v>2830</v>
      </c>
      <c r="BI52" s="151">
        <v>745</v>
      </c>
      <c r="BJ52" s="147">
        <v>749</v>
      </c>
      <c r="BK52" s="147">
        <v>928</v>
      </c>
      <c r="BL52" s="147">
        <v>1226</v>
      </c>
      <c r="BM52" s="152">
        <v>1230</v>
      </c>
      <c r="BO52" s="150" t="s">
        <v>129</v>
      </c>
      <c r="BP52" s="151">
        <v>745</v>
      </c>
      <c r="BQ52" s="147">
        <v>749</v>
      </c>
      <c r="BR52" s="147">
        <v>928</v>
      </c>
      <c r="BS52" s="147">
        <v>1226</v>
      </c>
      <c r="BT52" s="152">
        <v>1230</v>
      </c>
      <c r="BV52" s="150" t="s">
        <v>129</v>
      </c>
      <c r="BW52" s="151">
        <v>745</v>
      </c>
      <c r="BX52" s="147">
        <v>749</v>
      </c>
      <c r="BY52" s="147">
        <v>928</v>
      </c>
      <c r="BZ52" s="147">
        <v>1226</v>
      </c>
      <c r="CA52" s="152">
        <v>1230</v>
      </c>
    </row>
    <row r="53" spans="1:79" s="157" customFormat="1" x14ac:dyDescent="0.25">
      <c r="A53" s="153" t="s">
        <v>130</v>
      </c>
      <c r="B53" s="497">
        <v>52200</v>
      </c>
      <c r="C53" s="154">
        <v>365</v>
      </c>
      <c r="D53" s="155">
        <v>391</v>
      </c>
      <c r="E53" s="155">
        <v>470</v>
      </c>
      <c r="F53" s="155">
        <v>543</v>
      </c>
      <c r="G53" s="156">
        <v>605</v>
      </c>
      <c r="H53" s="154">
        <v>548</v>
      </c>
      <c r="I53" s="155">
        <v>587</v>
      </c>
      <c r="J53" s="155">
        <v>705</v>
      </c>
      <c r="K53" s="155">
        <v>814</v>
      </c>
      <c r="L53" s="155">
        <v>909</v>
      </c>
      <c r="M53" s="154">
        <v>731</v>
      </c>
      <c r="N53" s="155">
        <v>783</v>
      </c>
      <c r="O53" s="155">
        <v>940</v>
      </c>
      <c r="P53" s="155">
        <v>1086</v>
      </c>
      <c r="Q53" s="156">
        <v>1212</v>
      </c>
      <c r="R53" s="154">
        <v>913</v>
      </c>
      <c r="S53" s="155">
        <v>979</v>
      </c>
      <c r="T53" s="155">
        <v>1175</v>
      </c>
      <c r="U53" s="155">
        <v>1357</v>
      </c>
      <c r="V53" s="155">
        <v>1515</v>
      </c>
      <c r="W53" s="154">
        <v>1096</v>
      </c>
      <c r="X53" s="155">
        <v>1175</v>
      </c>
      <c r="Y53" s="155">
        <v>1410</v>
      </c>
      <c r="Z53" s="155">
        <v>1629</v>
      </c>
      <c r="AA53" s="156">
        <v>1818</v>
      </c>
      <c r="AB53" s="154">
        <v>1279</v>
      </c>
      <c r="AC53" s="155">
        <v>1371</v>
      </c>
      <c r="AD53" s="155">
        <v>1645</v>
      </c>
      <c r="AE53" s="155">
        <v>1900</v>
      </c>
      <c r="AF53" s="156">
        <v>2121</v>
      </c>
      <c r="AG53" s="154">
        <v>1462</v>
      </c>
      <c r="AH53" s="155">
        <v>1567</v>
      </c>
      <c r="AI53" s="155">
        <v>1880</v>
      </c>
      <c r="AJ53" s="155">
        <v>2172</v>
      </c>
      <c r="AK53" s="156">
        <v>2424</v>
      </c>
      <c r="AL53"/>
      <c r="AM53" s="154">
        <v>548</v>
      </c>
      <c r="AN53" s="155">
        <v>587</v>
      </c>
      <c r="AO53" s="155">
        <v>705</v>
      </c>
      <c r="AP53" s="155">
        <v>872</v>
      </c>
      <c r="AQ53" s="156">
        <v>1078</v>
      </c>
      <c r="AR53"/>
      <c r="AS53" s="154">
        <v>548</v>
      </c>
      <c r="AT53" s="155">
        <v>587</v>
      </c>
      <c r="AU53" s="155">
        <v>705</v>
      </c>
      <c r="AV53" s="155">
        <v>872</v>
      </c>
      <c r="AW53" s="156">
        <v>1078</v>
      </c>
      <c r="AX53" s="154">
        <v>913</v>
      </c>
      <c r="AY53" s="155">
        <v>979</v>
      </c>
      <c r="AZ53" s="155">
        <v>1175</v>
      </c>
      <c r="BA53" s="155">
        <v>1357</v>
      </c>
      <c r="BB53" s="156">
        <v>1515</v>
      </c>
      <c r="BC53" s="154">
        <v>1462</v>
      </c>
      <c r="BD53" s="155">
        <v>1567</v>
      </c>
      <c r="BE53" s="155">
        <v>1880</v>
      </c>
      <c r="BF53" s="155">
        <v>2172</v>
      </c>
      <c r="BG53" s="156">
        <v>2424</v>
      </c>
      <c r="BH53"/>
      <c r="BI53" s="154">
        <v>747</v>
      </c>
      <c r="BJ53" s="155">
        <v>752</v>
      </c>
      <c r="BK53" s="155">
        <v>928</v>
      </c>
      <c r="BL53" s="155">
        <v>1205</v>
      </c>
      <c r="BM53" s="156">
        <v>1558</v>
      </c>
      <c r="BN53"/>
      <c r="BO53" s="153" t="s">
        <v>130</v>
      </c>
      <c r="BP53" s="154">
        <v>747</v>
      </c>
      <c r="BQ53" s="155">
        <v>752</v>
      </c>
      <c r="BR53" s="155">
        <v>928</v>
      </c>
      <c r="BS53" s="155">
        <v>1205</v>
      </c>
      <c r="BT53" s="156">
        <v>1515</v>
      </c>
      <c r="BU53"/>
      <c r="BV53" s="153" t="s">
        <v>130</v>
      </c>
      <c r="BW53" s="154">
        <v>747</v>
      </c>
      <c r="BX53" s="155">
        <v>752</v>
      </c>
      <c r="BY53" s="155">
        <v>928</v>
      </c>
      <c r="BZ53" s="155">
        <v>1205</v>
      </c>
      <c r="CA53" s="156">
        <v>1558</v>
      </c>
    </row>
    <row r="54" spans="1:79" x14ac:dyDescent="0.25">
      <c r="A54" s="150" t="s">
        <v>131</v>
      </c>
      <c r="B54" s="496">
        <v>56150</v>
      </c>
      <c r="C54" s="151">
        <v>393</v>
      </c>
      <c r="D54" s="147">
        <v>421</v>
      </c>
      <c r="E54" s="147">
        <v>505</v>
      </c>
      <c r="F54" s="147">
        <v>584</v>
      </c>
      <c r="G54" s="152">
        <v>651</v>
      </c>
      <c r="H54" s="151">
        <v>590</v>
      </c>
      <c r="I54" s="147">
        <v>632</v>
      </c>
      <c r="J54" s="147">
        <v>758</v>
      </c>
      <c r="K54" s="147">
        <v>876</v>
      </c>
      <c r="L54" s="147">
        <v>977</v>
      </c>
      <c r="M54" s="151">
        <v>787</v>
      </c>
      <c r="N54" s="147">
        <v>843</v>
      </c>
      <c r="O54" s="147">
        <v>1011</v>
      </c>
      <c r="P54" s="147">
        <v>1168</v>
      </c>
      <c r="Q54" s="152">
        <v>1303</v>
      </c>
      <c r="R54" s="151">
        <v>983</v>
      </c>
      <c r="S54" s="147">
        <v>1053</v>
      </c>
      <c r="T54" s="147">
        <v>1263</v>
      </c>
      <c r="U54" s="147">
        <v>1460</v>
      </c>
      <c r="V54" s="147">
        <v>1628</v>
      </c>
      <c r="W54" s="151">
        <v>1180</v>
      </c>
      <c r="X54" s="147">
        <v>1264</v>
      </c>
      <c r="Y54" s="147">
        <v>1516</v>
      </c>
      <c r="Z54" s="147">
        <v>1752</v>
      </c>
      <c r="AA54" s="152">
        <v>1954</v>
      </c>
      <c r="AB54" s="151">
        <v>1377</v>
      </c>
      <c r="AC54" s="147">
        <v>1475</v>
      </c>
      <c r="AD54" s="147">
        <v>1769</v>
      </c>
      <c r="AE54" s="147">
        <v>2044</v>
      </c>
      <c r="AF54" s="152">
        <v>2280</v>
      </c>
      <c r="AG54" s="151">
        <v>1574</v>
      </c>
      <c r="AH54" s="147">
        <v>1686</v>
      </c>
      <c r="AI54" s="147">
        <v>2022</v>
      </c>
      <c r="AJ54" s="147">
        <v>2336</v>
      </c>
      <c r="AK54" s="152">
        <v>2606</v>
      </c>
      <c r="AM54" s="151">
        <v>590</v>
      </c>
      <c r="AN54" s="147">
        <v>632</v>
      </c>
      <c r="AO54" s="147">
        <v>758</v>
      </c>
      <c r="AP54" s="147">
        <v>876</v>
      </c>
      <c r="AQ54" s="152">
        <v>1078</v>
      </c>
      <c r="AS54" s="151">
        <v>590</v>
      </c>
      <c r="AT54" s="147">
        <v>632</v>
      </c>
      <c r="AU54" s="147">
        <v>758</v>
      </c>
      <c r="AV54" s="147">
        <v>891</v>
      </c>
      <c r="AW54" s="152">
        <v>1078</v>
      </c>
      <c r="AX54" s="151">
        <v>983</v>
      </c>
      <c r="AY54" s="147">
        <v>1053</v>
      </c>
      <c r="AZ54" s="147">
        <v>1263</v>
      </c>
      <c r="BA54" s="147">
        <v>1460</v>
      </c>
      <c r="BB54" s="152">
        <v>1628</v>
      </c>
      <c r="BC54" s="151">
        <v>1574</v>
      </c>
      <c r="BD54" s="147">
        <v>1686</v>
      </c>
      <c r="BE54" s="147">
        <v>2022</v>
      </c>
      <c r="BF54" s="147">
        <v>2336</v>
      </c>
      <c r="BG54" s="152">
        <v>2606</v>
      </c>
      <c r="BI54" s="151">
        <v>721</v>
      </c>
      <c r="BJ54" s="147">
        <v>808</v>
      </c>
      <c r="BK54" s="147">
        <v>1040</v>
      </c>
      <c r="BL54" s="147">
        <v>1457</v>
      </c>
      <c r="BM54" s="152">
        <v>1746</v>
      </c>
      <c r="BO54" s="150" t="s">
        <v>131</v>
      </c>
      <c r="BP54" s="151">
        <v>721</v>
      </c>
      <c r="BQ54" s="147">
        <v>808</v>
      </c>
      <c r="BR54" s="147">
        <v>1040</v>
      </c>
      <c r="BS54" s="147">
        <v>1457</v>
      </c>
      <c r="BT54" s="152">
        <v>1628</v>
      </c>
      <c r="BV54" s="150" t="s">
        <v>131</v>
      </c>
      <c r="BW54" s="151">
        <v>721</v>
      </c>
      <c r="BX54" s="147">
        <v>808</v>
      </c>
      <c r="BY54" s="147">
        <v>1040</v>
      </c>
      <c r="BZ54" s="147">
        <v>1457</v>
      </c>
      <c r="CA54" s="152">
        <v>1746</v>
      </c>
    </row>
    <row r="55" spans="1:79" s="157" customFormat="1" x14ac:dyDescent="0.25">
      <c r="A55" s="153" t="s">
        <v>132</v>
      </c>
      <c r="B55" s="497">
        <v>52200</v>
      </c>
      <c r="C55" s="154">
        <v>365</v>
      </c>
      <c r="D55" s="155">
        <v>391</v>
      </c>
      <c r="E55" s="155">
        <v>470</v>
      </c>
      <c r="F55" s="155">
        <v>543</v>
      </c>
      <c r="G55" s="156">
        <v>605</v>
      </c>
      <c r="H55" s="154">
        <v>548</v>
      </c>
      <c r="I55" s="155">
        <v>587</v>
      </c>
      <c r="J55" s="155">
        <v>705</v>
      </c>
      <c r="K55" s="155">
        <v>814</v>
      </c>
      <c r="L55" s="155">
        <v>909</v>
      </c>
      <c r="M55" s="154">
        <v>731</v>
      </c>
      <c r="N55" s="155">
        <v>783</v>
      </c>
      <c r="O55" s="155">
        <v>940</v>
      </c>
      <c r="P55" s="155">
        <v>1086</v>
      </c>
      <c r="Q55" s="156">
        <v>1212</v>
      </c>
      <c r="R55" s="154">
        <v>913</v>
      </c>
      <c r="S55" s="155">
        <v>979</v>
      </c>
      <c r="T55" s="155">
        <v>1175</v>
      </c>
      <c r="U55" s="155">
        <v>1357</v>
      </c>
      <c r="V55" s="155">
        <v>1515</v>
      </c>
      <c r="W55" s="154">
        <v>1096</v>
      </c>
      <c r="X55" s="155">
        <v>1175</v>
      </c>
      <c r="Y55" s="155">
        <v>1410</v>
      </c>
      <c r="Z55" s="155">
        <v>1629</v>
      </c>
      <c r="AA55" s="156">
        <v>1818</v>
      </c>
      <c r="AB55" s="154">
        <v>1279</v>
      </c>
      <c r="AC55" s="155">
        <v>1371</v>
      </c>
      <c r="AD55" s="155">
        <v>1645</v>
      </c>
      <c r="AE55" s="155">
        <v>1900</v>
      </c>
      <c r="AF55" s="156">
        <v>2121</v>
      </c>
      <c r="AG55" s="154">
        <v>1462</v>
      </c>
      <c r="AH55" s="155">
        <v>1567</v>
      </c>
      <c r="AI55" s="155">
        <v>1880</v>
      </c>
      <c r="AJ55" s="155">
        <v>2172</v>
      </c>
      <c r="AK55" s="156">
        <v>2424</v>
      </c>
      <c r="AL55"/>
      <c r="AM55" s="154">
        <v>548</v>
      </c>
      <c r="AN55" s="155">
        <v>587</v>
      </c>
      <c r="AO55" s="155">
        <v>705</v>
      </c>
      <c r="AP55" s="155">
        <v>872</v>
      </c>
      <c r="AQ55" s="156">
        <v>1078</v>
      </c>
      <c r="AR55"/>
      <c r="AS55" s="154">
        <v>548</v>
      </c>
      <c r="AT55" s="155">
        <v>587</v>
      </c>
      <c r="AU55" s="155">
        <v>705</v>
      </c>
      <c r="AV55" s="155">
        <v>872</v>
      </c>
      <c r="AW55" s="156">
        <v>1078</v>
      </c>
      <c r="AX55" s="154">
        <v>913</v>
      </c>
      <c r="AY55" s="155">
        <v>979</v>
      </c>
      <c r="AZ55" s="155">
        <v>1175</v>
      </c>
      <c r="BA55" s="155">
        <v>1357</v>
      </c>
      <c r="BB55" s="156">
        <v>1515</v>
      </c>
      <c r="BC55" s="154">
        <v>1462</v>
      </c>
      <c r="BD55" s="155">
        <v>1567</v>
      </c>
      <c r="BE55" s="155">
        <v>1880</v>
      </c>
      <c r="BF55" s="155">
        <v>2172</v>
      </c>
      <c r="BG55" s="156">
        <v>2424</v>
      </c>
      <c r="BH55"/>
      <c r="BI55" s="154">
        <v>807</v>
      </c>
      <c r="BJ55" s="155">
        <v>811</v>
      </c>
      <c r="BK55" s="155">
        <v>928</v>
      </c>
      <c r="BL55" s="155">
        <v>1300</v>
      </c>
      <c r="BM55" s="156">
        <v>1558</v>
      </c>
      <c r="BN55"/>
      <c r="BO55" s="153" t="s">
        <v>132</v>
      </c>
      <c r="BP55" s="154">
        <v>807</v>
      </c>
      <c r="BQ55" s="155">
        <v>811</v>
      </c>
      <c r="BR55" s="155">
        <v>928</v>
      </c>
      <c r="BS55" s="155">
        <v>1300</v>
      </c>
      <c r="BT55" s="156">
        <v>1515</v>
      </c>
      <c r="BU55"/>
      <c r="BV55" s="153" t="s">
        <v>132</v>
      </c>
      <c r="BW55" s="154">
        <v>807</v>
      </c>
      <c r="BX55" s="155">
        <v>811</v>
      </c>
      <c r="BY55" s="155">
        <v>928</v>
      </c>
      <c r="BZ55" s="155">
        <v>1300</v>
      </c>
      <c r="CA55" s="156">
        <v>1558</v>
      </c>
    </row>
    <row r="56" spans="1:79" ht="15.75" thickBot="1" x14ac:dyDescent="0.3">
      <c r="A56" s="158" t="s">
        <v>133</v>
      </c>
      <c r="B56" s="498">
        <v>56500</v>
      </c>
      <c r="C56" s="159">
        <v>395</v>
      </c>
      <c r="D56" s="160">
        <v>423</v>
      </c>
      <c r="E56" s="160">
        <v>508</v>
      </c>
      <c r="F56" s="160">
        <v>587</v>
      </c>
      <c r="G56" s="161">
        <v>655</v>
      </c>
      <c r="H56" s="159">
        <v>593</v>
      </c>
      <c r="I56" s="160">
        <v>635</v>
      </c>
      <c r="J56" s="160">
        <v>762</v>
      </c>
      <c r="K56" s="160">
        <v>881</v>
      </c>
      <c r="L56" s="160">
        <v>983</v>
      </c>
      <c r="M56" s="159">
        <v>791</v>
      </c>
      <c r="N56" s="160">
        <v>847</v>
      </c>
      <c r="O56" s="160">
        <v>1017</v>
      </c>
      <c r="P56" s="160">
        <v>1175</v>
      </c>
      <c r="Q56" s="161">
        <v>1311</v>
      </c>
      <c r="R56" s="159">
        <v>988</v>
      </c>
      <c r="S56" s="160">
        <v>1059</v>
      </c>
      <c r="T56" s="160">
        <v>1271</v>
      </c>
      <c r="U56" s="160">
        <v>1469</v>
      </c>
      <c r="V56" s="160">
        <v>1638</v>
      </c>
      <c r="W56" s="159">
        <v>1186</v>
      </c>
      <c r="X56" s="160">
        <v>1271</v>
      </c>
      <c r="Y56" s="160">
        <v>1525</v>
      </c>
      <c r="Z56" s="160">
        <v>1763</v>
      </c>
      <c r="AA56" s="161">
        <v>1966</v>
      </c>
      <c r="AB56" s="159">
        <v>1384</v>
      </c>
      <c r="AC56" s="160">
        <v>1483</v>
      </c>
      <c r="AD56" s="160">
        <v>1779</v>
      </c>
      <c r="AE56" s="160">
        <v>2057</v>
      </c>
      <c r="AF56" s="161">
        <v>2294</v>
      </c>
      <c r="AG56" s="159">
        <v>1582</v>
      </c>
      <c r="AH56" s="160">
        <v>1695</v>
      </c>
      <c r="AI56" s="160">
        <v>2034</v>
      </c>
      <c r="AJ56" s="160">
        <v>2351</v>
      </c>
      <c r="AK56" s="161">
        <v>2622</v>
      </c>
      <c r="AM56" s="159">
        <v>593</v>
      </c>
      <c r="AN56" s="160">
        <v>636</v>
      </c>
      <c r="AO56" s="160">
        <v>763</v>
      </c>
      <c r="AP56" s="160">
        <v>881</v>
      </c>
      <c r="AQ56" s="161">
        <v>1078</v>
      </c>
      <c r="AS56" s="159">
        <v>593</v>
      </c>
      <c r="AT56" s="160">
        <v>635</v>
      </c>
      <c r="AU56" s="160">
        <v>762</v>
      </c>
      <c r="AV56" s="160">
        <v>894</v>
      </c>
      <c r="AW56" s="161">
        <v>1078</v>
      </c>
      <c r="AX56" s="159">
        <v>988</v>
      </c>
      <c r="AY56" s="160">
        <v>1059</v>
      </c>
      <c r="AZ56" s="160">
        <v>1271</v>
      </c>
      <c r="BA56" s="160">
        <v>1469</v>
      </c>
      <c r="BB56" s="161">
        <v>1638</v>
      </c>
      <c r="BC56" s="159">
        <v>1582</v>
      </c>
      <c r="BD56" s="160">
        <v>1695</v>
      </c>
      <c r="BE56" s="160">
        <v>2034</v>
      </c>
      <c r="BF56" s="160">
        <v>2351</v>
      </c>
      <c r="BG56" s="161">
        <v>2622</v>
      </c>
      <c r="BI56" s="159">
        <v>1003</v>
      </c>
      <c r="BJ56" s="160">
        <v>1026</v>
      </c>
      <c r="BK56" s="160">
        <v>1154</v>
      </c>
      <c r="BL56" s="160">
        <v>1617</v>
      </c>
      <c r="BM56" s="161">
        <v>1938</v>
      </c>
      <c r="BO56" s="158" t="s">
        <v>133</v>
      </c>
      <c r="BP56" s="159">
        <v>988</v>
      </c>
      <c r="BQ56" s="160">
        <v>1026</v>
      </c>
      <c r="BR56" s="160">
        <v>1154</v>
      </c>
      <c r="BS56" s="160">
        <v>1469</v>
      </c>
      <c r="BT56" s="161">
        <v>1638</v>
      </c>
      <c r="BV56" s="158" t="s">
        <v>133</v>
      </c>
      <c r="BW56" s="159">
        <v>1003</v>
      </c>
      <c r="BX56" s="160">
        <v>1026</v>
      </c>
      <c r="BY56" s="160">
        <v>1154</v>
      </c>
      <c r="BZ56" s="160">
        <v>1617</v>
      </c>
      <c r="CA56" s="161">
        <v>1938</v>
      </c>
    </row>
    <row r="57" spans="1:79" ht="15.75" thickBot="1" x14ac:dyDescent="0.3"/>
    <row r="58" spans="1:79" ht="16.5" thickBot="1" x14ac:dyDescent="0.3">
      <c r="A58" s="1214" t="s">
        <v>936</v>
      </c>
      <c r="B58" s="1215"/>
      <c r="C58" s="499">
        <v>15650</v>
      </c>
      <c r="D58" s="500">
        <v>21150</v>
      </c>
      <c r="E58" s="500">
        <v>26650</v>
      </c>
      <c r="F58" s="500">
        <v>32150</v>
      </c>
      <c r="G58" s="500">
        <v>37650</v>
      </c>
      <c r="H58" s="500">
        <v>43150</v>
      </c>
      <c r="I58" s="500">
        <v>48650</v>
      </c>
      <c r="J58" s="501">
        <v>54150</v>
      </c>
    </row>
    <row r="59" spans="1:79" ht="15.75" thickBot="1" x14ac:dyDescent="0.3"/>
    <row r="60" spans="1:79" ht="16.5" thickBot="1" x14ac:dyDescent="0.3">
      <c r="A60" s="1214" t="s">
        <v>958</v>
      </c>
      <c r="B60" s="1215"/>
      <c r="C60" s="526">
        <v>104200</v>
      </c>
    </row>
    <row r="61" spans="1:79" ht="16.5" thickBot="1" x14ac:dyDescent="0.3">
      <c r="D61" s="527"/>
      <c r="E61" s="527"/>
    </row>
    <row r="62" spans="1:79" ht="15" customHeight="1" x14ac:dyDescent="0.25">
      <c r="B62" s="1210" t="s">
        <v>1058</v>
      </c>
      <c r="C62" s="1211"/>
      <c r="D62" s="626"/>
      <c r="E62" s="626"/>
      <c r="F62" s="626"/>
      <c r="G62" s="626"/>
    </row>
    <row r="63" spans="1:79" ht="15.75" thickBot="1" x14ac:dyDescent="0.3">
      <c r="B63" s="1212"/>
      <c r="C63" s="1213"/>
      <c r="D63" s="626"/>
      <c r="E63" s="626"/>
      <c r="F63" s="626"/>
      <c r="G63" s="626"/>
    </row>
    <row r="64" spans="1:79" ht="15.75" x14ac:dyDescent="0.25">
      <c r="A64" s="459" t="s">
        <v>972</v>
      </c>
      <c r="B64" s="549" t="s">
        <v>976</v>
      </c>
      <c r="C64" s="595" t="s">
        <v>629</v>
      </c>
      <c r="D64" s="627"/>
      <c r="E64" s="627"/>
      <c r="F64" s="627"/>
      <c r="G64" s="627"/>
    </row>
    <row r="65" spans="1:7" x14ac:dyDescent="0.25">
      <c r="A65" s="542" t="s">
        <v>57</v>
      </c>
      <c r="B65" s="465">
        <f>$C78*$B$72</f>
        <v>181488</v>
      </c>
      <c r="C65" s="296">
        <f>$C78*$B$73</f>
        <v>181488</v>
      </c>
      <c r="D65" s="628"/>
      <c r="E65" s="628"/>
      <c r="F65" s="628"/>
      <c r="G65" s="628"/>
    </row>
    <row r="66" spans="1:7" x14ac:dyDescent="0.25">
      <c r="A66" s="544">
        <v>1</v>
      </c>
      <c r="B66" s="1219">
        <f>$C79*$B$72</f>
        <v>208048.8</v>
      </c>
      <c r="C66" s="1220">
        <f>$C79*$B$73</f>
        <v>208048.8</v>
      </c>
      <c r="D66" s="628"/>
      <c r="E66" s="628"/>
      <c r="F66" s="628"/>
      <c r="G66" s="628"/>
    </row>
    <row r="67" spans="1:7" x14ac:dyDescent="0.25">
      <c r="A67" s="542">
        <v>2</v>
      </c>
      <c r="B67" s="465">
        <f>$C80*$B$72</f>
        <v>252993.59999999998</v>
      </c>
      <c r="C67" s="296">
        <f>$C80*$B$73</f>
        <v>252993.59999999998</v>
      </c>
      <c r="D67" s="628"/>
      <c r="E67" s="628"/>
      <c r="F67" s="628"/>
      <c r="G67" s="628"/>
    </row>
    <row r="68" spans="1:7" x14ac:dyDescent="0.25">
      <c r="A68" s="544">
        <v>3</v>
      </c>
      <c r="B68" s="1219">
        <f>$C81*$B$72</f>
        <v>327292.79999999999</v>
      </c>
      <c r="C68" s="1220">
        <f>$C81*$B$73</f>
        <v>327292.79999999999</v>
      </c>
      <c r="D68" s="628"/>
      <c r="E68" s="628"/>
      <c r="F68" s="628"/>
      <c r="G68" s="628"/>
    </row>
    <row r="69" spans="1:7" ht="15.75" thickBot="1" x14ac:dyDescent="0.3">
      <c r="A69" s="546">
        <v>4</v>
      </c>
      <c r="B69" s="1221">
        <f>$C82*$B$72</f>
        <v>359263.2</v>
      </c>
      <c r="C69" s="1222">
        <f>$C82*$B$73</f>
        <v>359263.2</v>
      </c>
      <c r="D69" s="628"/>
      <c r="E69" s="628"/>
      <c r="F69" s="628"/>
      <c r="G69" s="628"/>
    </row>
    <row r="71" spans="1:7" ht="15.75" thickBot="1" x14ac:dyDescent="0.3">
      <c r="A71" s="1194" t="s">
        <v>977</v>
      </c>
      <c r="B71" s="1194"/>
      <c r="C71" s="1194"/>
      <c r="D71" s="237"/>
      <c r="E71" s="237"/>
      <c r="F71" s="237"/>
      <c r="G71" s="237"/>
    </row>
    <row r="72" spans="1:7" x14ac:dyDescent="0.25">
      <c r="A72" s="550" t="s">
        <v>976</v>
      </c>
      <c r="B72" s="551">
        <v>2.4</v>
      </c>
      <c r="F72" s="321"/>
    </row>
    <row r="73" spans="1:7" ht="15.75" thickBot="1" x14ac:dyDescent="0.3">
      <c r="A73" s="552" t="s">
        <v>629</v>
      </c>
      <c r="B73" s="553">
        <v>2.4</v>
      </c>
      <c r="F73" s="321"/>
    </row>
    <row r="75" spans="1:7" x14ac:dyDescent="0.25">
      <c r="A75" s="147" t="s">
        <v>380</v>
      </c>
      <c r="B75" s="148">
        <v>45335</v>
      </c>
    </row>
    <row r="76" spans="1:7" ht="15.75" thickBot="1" x14ac:dyDescent="0.3">
      <c r="A76" s="1190" t="s">
        <v>975</v>
      </c>
      <c r="B76" s="1190"/>
      <c r="C76" s="1190"/>
      <c r="D76" s="237"/>
    </row>
    <row r="77" spans="1:7" ht="15.75" x14ac:dyDescent="0.25">
      <c r="A77" s="459" t="s">
        <v>972</v>
      </c>
      <c r="B77" s="460" t="s">
        <v>973</v>
      </c>
      <c r="C77" s="461" t="s">
        <v>974</v>
      </c>
    </row>
    <row r="78" spans="1:7" x14ac:dyDescent="0.25">
      <c r="A78" s="542" t="s">
        <v>57</v>
      </c>
      <c r="B78" s="465">
        <v>71856</v>
      </c>
      <c r="C78" s="296">
        <v>75620</v>
      </c>
    </row>
    <row r="79" spans="1:7" x14ac:dyDescent="0.25">
      <c r="A79" s="544">
        <v>1</v>
      </c>
      <c r="B79" s="1219">
        <v>82853</v>
      </c>
      <c r="C79" s="1220">
        <v>86687</v>
      </c>
    </row>
    <row r="80" spans="1:7" x14ac:dyDescent="0.25">
      <c r="A80" s="542">
        <v>2</v>
      </c>
      <c r="B80" s="465">
        <v>99923</v>
      </c>
      <c r="C80" s="296">
        <v>105414</v>
      </c>
    </row>
    <row r="81" spans="1:3" x14ac:dyDescent="0.25">
      <c r="A81" s="544">
        <v>3</v>
      </c>
      <c r="B81" s="1219">
        <v>127906</v>
      </c>
      <c r="C81" s="1220">
        <v>136372</v>
      </c>
    </row>
    <row r="82" spans="1:3" ht="15.75" thickBot="1" x14ac:dyDescent="0.3">
      <c r="A82" s="546">
        <v>4</v>
      </c>
      <c r="B82" s="1221">
        <v>142493</v>
      </c>
      <c r="C82" s="1222">
        <v>149693</v>
      </c>
    </row>
    <row r="84" spans="1:3" ht="15.75" thickBot="1" x14ac:dyDescent="0.3">
      <c r="A84" s="879" t="s">
        <v>1100</v>
      </c>
      <c r="B84" s="879"/>
      <c r="C84" s="879"/>
    </row>
    <row r="85" spans="1:3" ht="15.75" thickBot="1" x14ac:dyDescent="0.3">
      <c r="A85" s="525" t="s">
        <v>1101</v>
      </c>
      <c r="B85" s="551">
        <v>1.1000000000000001</v>
      </c>
      <c r="C85" s="629"/>
    </row>
    <row r="86" spans="1:3" ht="15" customHeight="1" x14ac:dyDescent="0.25">
      <c r="A86" s="630" t="s">
        <v>972</v>
      </c>
      <c r="B86" s="549" t="s">
        <v>976</v>
      </c>
      <c r="C86" s="595" t="s">
        <v>629</v>
      </c>
    </row>
    <row r="87" spans="1:3" ht="15" customHeight="1" x14ac:dyDescent="0.25">
      <c r="A87" s="542" t="s">
        <v>57</v>
      </c>
      <c r="B87" s="465">
        <f t="shared" ref="B87:C91" si="0">ROUNDDOWN(B65*$B$85,0)</f>
        <v>199636</v>
      </c>
      <c r="C87" s="296">
        <f t="shared" si="0"/>
        <v>199636</v>
      </c>
    </row>
    <row r="88" spans="1:3" x14ac:dyDescent="0.25">
      <c r="A88" s="544">
        <v>1</v>
      </c>
      <c r="B88" s="1219">
        <f t="shared" si="0"/>
        <v>228853</v>
      </c>
      <c r="C88" s="1220">
        <f t="shared" si="0"/>
        <v>228853</v>
      </c>
    </row>
    <row r="89" spans="1:3" x14ac:dyDescent="0.25">
      <c r="A89" s="542">
        <v>2</v>
      </c>
      <c r="B89" s="465">
        <f t="shared" si="0"/>
        <v>278292</v>
      </c>
      <c r="C89" s="296">
        <f t="shared" si="0"/>
        <v>278292</v>
      </c>
    </row>
    <row r="90" spans="1:3" x14ac:dyDescent="0.25">
      <c r="A90" s="544">
        <v>3</v>
      </c>
      <c r="B90" s="1219">
        <f t="shared" si="0"/>
        <v>360022</v>
      </c>
      <c r="C90" s="1220">
        <f t="shared" si="0"/>
        <v>360022</v>
      </c>
    </row>
    <row r="91" spans="1:3" ht="15.75" thickBot="1" x14ac:dyDescent="0.3">
      <c r="A91" s="546">
        <v>4</v>
      </c>
      <c r="B91" s="1221">
        <f t="shared" si="0"/>
        <v>395189</v>
      </c>
      <c r="C91" s="1222">
        <f t="shared" si="0"/>
        <v>395189</v>
      </c>
    </row>
  </sheetData>
  <sheetProtection algorithmName="SHA-512" hashValue="A5LLJ/+nhf2jTN3VEipC8AlyPmLkKJYIpivoFUNA+2L2ORVwN8DMkWdCKRTDa2EMbtP41/ljdN1a9mXF64vPBw==" saltValue="uXLatLI06pv6aV2yZGXTzw==" spinCount="100000" sheet="1" objects="1" scenarios="1"/>
  <mergeCells count="91">
    <mergeCell ref="BS2:BS3"/>
    <mergeCell ref="BT2:BT3"/>
    <mergeCell ref="B62:C63"/>
    <mergeCell ref="A76:C76"/>
    <mergeCell ref="BF2:BF3"/>
    <mergeCell ref="BG2:BG3"/>
    <mergeCell ref="BE2:BE3"/>
    <mergeCell ref="A60:B60"/>
    <mergeCell ref="B2:B3"/>
    <mergeCell ref="A58:B58"/>
    <mergeCell ref="BI1:BM1"/>
    <mergeCell ref="BW1:CA1"/>
    <mergeCell ref="BW2:BW3"/>
    <mergeCell ref="BX2:BX3"/>
    <mergeCell ref="BY2:BY3"/>
    <mergeCell ref="BZ2:BZ3"/>
    <mergeCell ref="CA2:CA3"/>
    <mergeCell ref="BI2:BI3"/>
    <mergeCell ref="BJ2:BJ3"/>
    <mergeCell ref="BK2:BK3"/>
    <mergeCell ref="BL2:BL3"/>
    <mergeCell ref="BM2:BM3"/>
    <mergeCell ref="BP1:BT1"/>
    <mergeCell ref="BP2:BP3"/>
    <mergeCell ref="BQ2:BQ3"/>
    <mergeCell ref="BR2:BR3"/>
    <mergeCell ref="AS1:AW1"/>
    <mergeCell ref="AX1:BB1"/>
    <mergeCell ref="BC1:BG1"/>
    <mergeCell ref="AS2:AS3"/>
    <mergeCell ref="AT2:AT3"/>
    <mergeCell ref="AU2:AU3"/>
    <mergeCell ref="AV2:AV3"/>
    <mergeCell ref="AW2:AW3"/>
    <mergeCell ref="AX2:AX3"/>
    <mergeCell ref="AY2:AY3"/>
    <mergeCell ref="AZ2:AZ3"/>
    <mergeCell ref="BA2:BA3"/>
    <mergeCell ref="BB2:BB3"/>
    <mergeCell ref="BC2:BC3"/>
    <mergeCell ref="BD2:BD3"/>
    <mergeCell ref="AM1:AQ1"/>
    <mergeCell ref="AM2:AM3"/>
    <mergeCell ref="AN2:AN3"/>
    <mergeCell ref="AO2:AO3"/>
    <mergeCell ref="AP2:AP3"/>
    <mergeCell ref="AQ2:AQ3"/>
    <mergeCell ref="AG1:AK1"/>
    <mergeCell ref="AG2:AG3"/>
    <mergeCell ref="AH2:AH3"/>
    <mergeCell ref="AI2:AI3"/>
    <mergeCell ref="AJ2:AJ3"/>
    <mergeCell ref="AK2:AK3"/>
    <mergeCell ref="AB1:AF1"/>
    <mergeCell ref="AB2:AB3"/>
    <mergeCell ref="AC2:AC3"/>
    <mergeCell ref="AD2:AD3"/>
    <mergeCell ref="AE2:AE3"/>
    <mergeCell ref="AF2:AF3"/>
    <mergeCell ref="W1:AA1"/>
    <mergeCell ref="W2:W3"/>
    <mergeCell ref="X2:X3"/>
    <mergeCell ref="Y2:Y3"/>
    <mergeCell ref="Z2:Z3"/>
    <mergeCell ref="AA2:AA3"/>
    <mergeCell ref="R1:V1"/>
    <mergeCell ref="R2:R3"/>
    <mergeCell ref="S2:S3"/>
    <mergeCell ref="T2:T3"/>
    <mergeCell ref="U2:U3"/>
    <mergeCell ref="V2:V3"/>
    <mergeCell ref="M1:Q1"/>
    <mergeCell ref="M2:M3"/>
    <mergeCell ref="N2:N3"/>
    <mergeCell ref="O2:O3"/>
    <mergeCell ref="P2:P3"/>
    <mergeCell ref="Q2:Q3"/>
    <mergeCell ref="A84:C84"/>
    <mergeCell ref="A71:C71"/>
    <mergeCell ref="C1:G1"/>
    <mergeCell ref="H1:L1"/>
    <mergeCell ref="H2:H3"/>
    <mergeCell ref="I2:I3"/>
    <mergeCell ref="J2:J3"/>
    <mergeCell ref="K2:K3"/>
    <mergeCell ref="L2:L3"/>
    <mergeCell ref="C2:C3"/>
    <mergeCell ref="D2:D3"/>
    <mergeCell ref="E2:E3"/>
    <mergeCell ref="F2:F3"/>
    <mergeCell ref="G2:G3"/>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282DE-59F2-4087-A5CF-97B19C79C23C}">
  <dimension ref="A1:CA91"/>
  <sheetViews>
    <sheetView zoomScale="85" zoomScaleNormal="85" workbookViewId="0">
      <selection activeCell="A2" sqref="A2"/>
    </sheetView>
  </sheetViews>
  <sheetFormatPr defaultRowHeight="15" x14ac:dyDescent="0.25"/>
  <cols>
    <col min="1" max="1" width="14.28515625" bestFit="1" customWidth="1"/>
    <col min="2" max="2" width="14.28515625" customWidth="1"/>
    <col min="3" max="3" width="12.5703125" bestFit="1" customWidth="1"/>
    <col min="8" max="8" width="10.42578125" bestFit="1" customWidth="1"/>
    <col min="13" max="13" width="10.42578125" bestFit="1" customWidth="1"/>
    <col min="18" max="18" width="10.42578125" bestFit="1" customWidth="1"/>
    <col min="23" max="23" width="10.42578125" bestFit="1" customWidth="1"/>
    <col min="28" max="28" width="10.42578125" bestFit="1" customWidth="1"/>
    <col min="33" max="33" width="10.42578125" bestFit="1" customWidth="1"/>
    <col min="38" max="38" width="2.7109375" customWidth="1"/>
    <col min="39" max="39" width="10.42578125" bestFit="1" customWidth="1"/>
    <col min="44" max="44" width="2.7109375" customWidth="1"/>
    <col min="45" max="45" width="10.42578125" bestFit="1" customWidth="1"/>
    <col min="50" max="50" width="10.42578125" bestFit="1" customWidth="1"/>
    <col min="55" max="55" width="10.42578125" bestFit="1" customWidth="1"/>
    <col min="60" max="60" width="2.7109375" customWidth="1"/>
    <col min="61" max="61" width="10.42578125" bestFit="1" customWidth="1"/>
    <col min="66" max="66" width="2.7109375" customWidth="1"/>
    <col min="67" max="67" width="14.28515625" bestFit="1" customWidth="1"/>
    <col min="68" max="68" width="10.42578125" bestFit="1" customWidth="1"/>
    <col min="73" max="73" width="2.7109375" customWidth="1"/>
    <col min="74" max="74" width="14.28515625" bestFit="1" customWidth="1"/>
    <col min="75" max="75" width="10.42578125" bestFit="1" customWidth="1"/>
  </cols>
  <sheetData>
    <row r="1" spans="1:79" ht="15" customHeight="1" thickBot="1" x14ac:dyDescent="0.3">
      <c r="A1" s="147" t="s">
        <v>380</v>
      </c>
      <c r="B1" s="147"/>
      <c r="C1" s="1195" t="s">
        <v>153</v>
      </c>
      <c r="D1" s="1196"/>
      <c r="E1" s="1196"/>
      <c r="F1" s="1196"/>
      <c r="G1" s="1197"/>
      <c r="H1" s="1195" t="s">
        <v>154</v>
      </c>
      <c r="I1" s="1196"/>
      <c r="J1" s="1196"/>
      <c r="K1" s="1196"/>
      <c r="L1" s="1196"/>
      <c r="M1" s="1195" t="s">
        <v>155</v>
      </c>
      <c r="N1" s="1196"/>
      <c r="O1" s="1196"/>
      <c r="P1" s="1196"/>
      <c r="Q1" s="1197"/>
      <c r="R1" s="1195" t="s">
        <v>156</v>
      </c>
      <c r="S1" s="1196"/>
      <c r="T1" s="1196"/>
      <c r="U1" s="1196"/>
      <c r="V1" s="1196"/>
      <c r="W1" s="1195" t="s">
        <v>157</v>
      </c>
      <c r="X1" s="1196"/>
      <c r="Y1" s="1196"/>
      <c r="Z1" s="1196"/>
      <c r="AA1" s="1197"/>
      <c r="AB1" s="1195" t="s">
        <v>158</v>
      </c>
      <c r="AC1" s="1196"/>
      <c r="AD1" s="1196"/>
      <c r="AE1" s="1196"/>
      <c r="AF1" s="1197"/>
      <c r="AG1" s="1195" t="s">
        <v>159</v>
      </c>
      <c r="AH1" s="1196"/>
      <c r="AI1" s="1196"/>
      <c r="AJ1" s="1196"/>
      <c r="AK1" s="1197"/>
      <c r="AM1" s="1201" t="s">
        <v>160</v>
      </c>
      <c r="AN1" s="1202"/>
      <c r="AO1" s="1202"/>
      <c r="AP1" s="1202"/>
      <c r="AQ1" s="1203"/>
      <c r="AS1" s="1204" t="s">
        <v>161</v>
      </c>
      <c r="AT1" s="1205"/>
      <c r="AU1" s="1205"/>
      <c r="AV1" s="1205"/>
      <c r="AW1" s="1206"/>
      <c r="AX1" s="1204" t="s">
        <v>162</v>
      </c>
      <c r="AY1" s="1205"/>
      <c r="AZ1" s="1205"/>
      <c r="BA1" s="1205"/>
      <c r="BB1" s="1206"/>
      <c r="BC1" s="1204" t="s">
        <v>163</v>
      </c>
      <c r="BD1" s="1205"/>
      <c r="BE1" s="1205"/>
      <c r="BF1" s="1205"/>
      <c r="BG1" s="1206"/>
      <c r="BI1" s="1207" t="s">
        <v>296</v>
      </c>
      <c r="BJ1" s="1208"/>
      <c r="BK1" s="1208"/>
      <c r="BL1" s="1208"/>
      <c r="BM1" s="1209"/>
      <c r="BO1" s="147" t="s">
        <v>380</v>
      </c>
      <c r="BP1" s="1207" t="s">
        <v>165</v>
      </c>
      <c r="BQ1" s="1208"/>
      <c r="BR1" s="1208"/>
      <c r="BS1" s="1208"/>
      <c r="BT1" s="1209"/>
      <c r="BV1" s="147"/>
      <c r="BW1" s="1207" t="s">
        <v>166</v>
      </c>
      <c r="BX1" s="1208"/>
      <c r="BY1" s="1208"/>
      <c r="BZ1" s="1208"/>
      <c r="CA1" s="1209"/>
    </row>
    <row r="2" spans="1:79" ht="15.75" customHeight="1" thickBot="1" x14ac:dyDescent="0.3">
      <c r="A2" s="148">
        <v>46143</v>
      </c>
      <c r="B2" s="1216" t="s">
        <v>935</v>
      </c>
      <c r="C2" s="1198" t="s">
        <v>57</v>
      </c>
      <c r="D2" s="1199" t="s">
        <v>58</v>
      </c>
      <c r="E2" s="1199" t="s">
        <v>59</v>
      </c>
      <c r="F2" s="1199" t="s">
        <v>60</v>
      </c>
      <c r="G2" s="1200" t="s">
        <v>61</v>
      </c>
      <c r="H2" s="1198" t="s">
        <v>57</v>
      </c>
      <c r="I2" s="1199" t="s">
        <v>58</v>
      </c>
      <c r="J2" s="1199" t="s">
        <v>59</v>
      </c>
      <c r="K2" s="1199" t="s">
        <v>60</v>
      </c>
      <c r="L2" s="1199" t="s">
        <v>61</v>
      </c>
      <c r="M2" s="1198" t="s">
        <v>57</v>
      </c>
      <c r="N2" s="1199" t="s">
        <v>58</v>
      </c>
      <c r="O2" s="1199" t="s">
        <v>59</v>
      </c>
      <c r="P2" s="1199" t="s">
        <v>60</v>
      </c>
      <c r="Q2" s="1200" t="s">
        <v>61</v>
      </c>
      <c r="R2" s="1198" t="s">
        <v>57</v>
      </c>
      <c r="S2" s="1199" t="s">
        <v>58</v>
      </c>
      <c r="T2" s="1199" t="s">
        <v>59</v>
      </c>
      <c r="U2" s="1199" t="s">
        <v>60</v>
      </c>
      <c r="V2" s="1199" t="s">
        <v>61</v>
      </c>
      <c r="W2" s="1198" t="s">
        <v>57</v>
      </c>
      <c r="X2" s="1199" t="s">
        <v>58</v>
      </c>
      <c r="Y2" s="1199" t="s">
        <v>59</v>
      </c>
      <c r="Z2" s="1199" t="s">
        <v>60</v>
      </c>
      <c r="AA2" s="1200" t="s">
        <v>61</v>
      </c>
      <c r="AB2" s="1198" t="s">
        <v>57</v>
      </c>
      <c r="AC2" s="1199" t="s">
        <v>58</v>
      </c>
      <c r="AD2" s="1199" t="s">
        <v>59</v>
      </c>
      <c r="AE2" s="1199" t="s">
        <v>60</v>
      </c>
      <c r="AF2" s="1200" t="s">
        <v>61</v>
      </c>
      <c r="AG2" s="1198" t="s">
        <v>57</v>
      </c>
      <c r="AH2" s="1199" t="s">
        <v>58</v>
      </c>
      <c r="AI2" s="1199" t="s">
        <v>59</v>
      </c>
      <c r="AJ2" s="1199" t="s">
        <v>60</v>
      </c>
      <c r="AK2" s="1200" t="s">
        <v>61</v>
      </c>
      <c r="AM2" s="1198" t="s">
        <v>57</v>
      </c>
      <c r="AN2" s="1199" t="s">
        <v>58</v>
      </c>
      <c r="AO2" s="1199" t="s">
        <v>59</v>
      </c>
      <c r="AP2" s="1199" t="s">
        <v>60</v>
      </c>
      <c r="AQ2" s="1200" t="s">
        <v>61</v>
      </c>
      <c r="AS2" s="1198" t="s">
        <v>57</v>
      </c>
      <c r="AT2" s="1199" t="s">
        <v>58</v>
      </c>
      <c r="AU2" s="1199" t="s">
        <v>59</v>
      </c>
      <c r="AV2" s="1199" t="s">
        <v>60</v>
      </c>
      <c r="AW2" s="1200" t="s">
        <v>61</v>
      </c>
      <c r="AX2" s="1198" t="s">
        <v>57</v>
      </c>
      <c r="AY2" s="1199" t="s">
        <v>58</v>
      </c>
      <c r="AZ2" s="1199" t="s">
        <v>59</v>
      </c>
      <c r="BA2" s="1199" t="s">
        <v>60</v>
      </c>
      <c r="BB2" s="1200" t="s">
        <v>61</v>
      </c>
      <c r="BC2" s="1198" t="s">
        <v>57</v>
      </c>
      <c r="BD2" s="1199" t="s">
        <v>58</v>
      </c>
      <c r="BE2" s="1199" t="s">
        <v>59</v>
      </c>
      <c r="BF2" s="1199" t="s">
        <v>60</v>
      </c>
      <c r="BG2" s="1200" t="s">
        <v>61</v>
      </c>
      <c r="BI2" s="1198" t="s">
        <v>57</v>
      </c>
      <c r="BJ2" s="1199" t="s">
        <v>58</v>
      </c>
      <c r="BK2" s="1199" t="s">
        <v>59</v>
      </c>
      <c r="BL2" s="1199" t="s">
        <v>60</v>
      </c>
      <c r="BM2" s="1200" t="s">
        <v>61</v>
      </c>
      <c r="BO2" s="148">
        <v>46174</v>
      </c>
      <c r="BP2" s="1198" t="s">
        <v>57</v>
      </c>
      <c r="BQ2" s="1199" t="s">
        <v>58</v>
      </c>
      <c r="BR2" s="1199" t="s">
        <v>59</v>
      </c>
      <c r="BS2" s="1199" t="s">
        <v>60</v>
      </c>
      <c r="BT2" s="1200" t="s">
        <v>61</v>
      </c>
      <c r="BV2" s="343"/>
      <c r="BW2" s="1198" t="s">
        <v>57</v>
      </c>
      <c r="BX2" s="1199" t="s">
        <v>58</v>
      </c>
      <c r="BY2" s="1199" t="s">
        <v>59</v>
      </c>
      <c r="BZ2" s="1199" t="s">
        <v>60</v>
      </c>
      <c r="CA2" s="1200" t="s">
        <v>61</v>
      </c>
    </row>
    <row r="3" spans="1:79" ht="16.5" thickBot="1" x14ac:dyDescent="0.3">
      <c r="A3" s="149" t="s">
        <v>79</v>
      </c>
      <c r="B3" s="1217"/>
      <c r="C3" s="1198"/>
      <c r="D3" s="1199"/>
      <c r="E3" s="1199"/>
      <c r="F3" s="1199"/>
      <c r="G3" s="1200"/>
      <c r="H3" s="1198"/>
      <c r="I3" s="1199"/>
      <c r="J3" s="1199"/>
      <c r="K3" s="1199"/>
      <c r="L3" s="1199"/>
      <c r="M3" s="1198"/>
      <c r="N3" s="1199"/>
      <c r="O3" s="1199"/>
      <c r="P3" s="1199"/>
      <c r="Q3" s="1200"/>
      <c r="R3" s="1198"/>
      <c r="S3" s="1199"/>
      <c r="T3" s="1199"/>
      <c r="U3" s="1199"/>
      <c r="V3" s="1199"/>
      <c r="W3" s="1198"/>
      <c r="X3" s="1199"/>
      <c r="Y3" s="1199"/>
      <c r="Z3" s="1199"/>
      <c r="AA3" s="1200"/>
      <c r="AB3" s="1198"/>
      <c r="AC3" s="1199"/>
      <c r="AD3" s="1199"/>
      <c r="AE3" s="1199"/>
      <c r="AF3" s="1200"/>
      <c r="AG3" s="1198"/>
      <c r="AH3" s="1199"/>
      <c r="AI3" s="1199"/>
      <c r="AJ3" s="1199"/>
      <c r="AK3" s="1200"/>
      <c r="AM3" s="1198"/>
      <c r="AN3" s="1199"/>
      <c r="AO3" s="1199"/>
      <c r="AP3" s="1199"/>
      <c r="AQ3" s="1200"/>
      <c r="AS3" s="1198"/>
      <c r="AT3" s="1199"/>
      <c r="AU3" s="1199"/>
      <c r="AV3" s="1199"/>
      <c r="AW3" s="1200"/>
      <c r="AX3" s="1198"/>
      <c r="AY3" s="1199"/>
      <c r="AZ3" s="1199"/>
      <c r="BA3" s="1199"/>
      <c r="BB3" s="1200"/>
      <c r="BC3" s="1198"/>
      <c r="BD3" s="1199"/>
      <c r="BE3" s="1199"/>
      <c r="BF3" s="1199"/>
      <c r="BG3" s="1200"/>
      <c r="BI3" s="1198"/>
      <c r="BJ3" s="1199"/>
      <c r="BK3" s="1199"/>
      <c r="BL3" s="1199"/>
      <c r="BM3" s="1200"/>
      <c r="BO3" s="529"/>
      <c r="BP3" s="1198"/>
      <c r="BQ3" s="1199"/>
      <c r="BR3" s="1199"/>
      <c r="BS3" s="1199"/>
      <c r="BT3" s="1200"/>
      <c r="BV3" s="529"/>
      <c r="BW3" s="1198"/>
      <c r="BX3" s="1199"/>
      <c r="BY3" s="1199"/>
      <c r="BZ3" s="1199"/>
      <c r="CA3" s="1200"/>
    </row>
    <row r="4" spans="1:79" x14ac:dyDescent="0.25">
      <c r="A4" s="150" t="s">
        <v>81</v>
      </c>
      <c r="B4" s="496">
        <v>52600</v>
      </c>
      <c r="C4" s="151">
        <v>376</v>
      </c>
      <c r="D4" s="147">
        <v>403</v>
      </c>
      <c r="E4" s="147">
        <v>484</v>
      </c>
      <c r="F4" s="147">
        <v>559</v>
      </c>
      <c r="G4" s="152">
        <v>623</v>
      </c>
      <c r="H4" s="151">
        <v>564</v>
      </c>
      <c r="I4" s="147">
        <v>604</v>
      </c>
      <c r="J4" s="147">
        <v>726</v>
      </c>
      <c r="K4" s="147">
        <v>838</v>
      </c>
      <c r="L4" s="147">
        <v>935</v>
      </c>
      <c r="M4" s="151">
        <v>753</v>
      </c>
      <c r="N4" s="147">
        <v>806</v>
      </c>
      <c r="O4" s="147">
        <v>968</v>
      </c>
      <c r="P4" s="147">
        <v>1118</v>
      </c>
      <c r="Q4" s="152">
        <v>1247</v>
      </c>
      <c r="R4" s="151">
        <v>941</v>
      </c>
      <c r="S4" s="147">
        <v>1008</v>
      </c>
      <c r="T4" s="147">
        <v>1210</v>
      </c>
      <c r="U4" s="147">
        <v>1397</v>
      </c>
      <c r="V4" s="147">
        <v>1558</v>
      </c>
      <c r="W4" s="151">
        <v>1129</v>
      </c>
      <c r="X4" s="147">
        <v>1209</v>
      </c>
      <c r="Y4" s="147">
        <v>1452</v>
      </c>
      <c r="Z4" s="147">
        <v>1677</v>
      </c>
      <c r="AA4" s="152">
        <v>1870</v>
      </c>
      <c r="AB4" s="151">
        <v>1317</v>
      </c>
      <c r="AC4" s="147">
        <v>1411</v>
      </c>
      <c r="AD4" s="147">
        <v>1694</v>
      </c>
      <c r="AE4" s="147">
        <v>1956</v>
      </c>
      <c r="AF4" s="152">
        <v>2182</v>
      </c>
      <c r="AG4" s="151">
        <v>1506</v>
      </c>
      <c r="AH4" s="147">
        <v>1613</v>
      </c>
      <c r="AI4" s="147">
        <v>1936</v>
      </c>
      <c r="AJ4" s="147">
        <v>2236</v>
      </c>
      <c r="AK4" s="152">
        <v>2494</v>
      </c>
      <c r="AM4" s="151">
        <v>565</v>
      </c>
      <c r="AN4" s="147">
        <v>605</v>
      </c>
      <c r="AO4" s="147">
        <v>726</v>
      </c>
      <c r="AP4" s="147">
        <v>896</v>
      </c>
      <c r="AQ4" s="152">
        <v>1109</v>
      </c>
      <c r="AS4" s="151">
        <v>564</v>
      </c>
      <c r="AT4" s="147">
        <v>604</v>
      </c>
      <c r="AU4" s="147">
        <v>726</v>
      </c>
      <c r="AV4" s="147">
        <v>896</v>
      </c>
      <c r="AW4" s="152">
        <v>1109</v>
      </c>
      <c r="AX4" s="151">
        <v>941</v>
      </c>
      <c r="AY4" s="147">
        <v>1008</v>
      </c>
      <c r="AZ4" s="147">
        <v>1210</v>
      </c>
      <c r="BA4" s="147">
        <v>1397</v>
      </c>
      <c r="BB4" s="152">
        <v>1558</v>
      </c>
      <c r="BC4" s="151">
        <v>1506</v>
      </c>
      <c r="BD4" s="147">
        <v>1613</v>
      </c>
      <c r="BE4" s="147">
        <v>1936</v>
      </c>
      <c r="BF4" s="147">
        <v>2236</v>
      </c>
      <c r="BG4" s="152">
        <v>2494</v>
      </c>
      <c r="BI4" s="151">
        <v>697</v>
      </c>
      <c r="BJ4" s="147">
        <v>702</v>
      </c>
      <c r="BK4" s="147">
        <v>873</v>
      </c>
      <c r="BL4" s="147">
        <v>1214</v>
      </c>
      <c r="BM4" s="152">
        <v>1464</v>
      </c>
      <c r="BO4" s="528" t="s">
        <v>81</v>
      </c>
      <c r="BP4" s="151">
        <v>697</v>
      </c>
      <c r="BQ4" s="147">
        <v>702</v>
      </c>
      <c r="BR4" s="147">
        <v>873</v>
      </c>
      <c r="BS4" s="147">
        <v>1214</v>
      </c>
      <c r="BT4" s="152">
        <v>1464</v>
      </c>
      <c r="BV4" s="528" t="s">
        <v>81</v>
      </c>
      <c r="BW4" s="151">
        <v>697</v>
      </c>
      <c r="BX4" s="147">
        <v>702</v>
      </c>
      <c r="BY4" s="147">
        <v>873</v>
      </c>
      <c r="BZ4" s="147">
        <v>1214</v>
      </c>
      <c r="CA4" s="152">
        <v>1464</v>
      </c>
    </row>
    <row r="5" spans="1:79" s="157" customFormat="1" x14ac:dyDescent="0.25">
      <c r="A5" s="153" t="s">
        <v>82</v>
      </c>
      <c r="B5" s="497">
        <v>50750</v>
      </c>
      <c r="C5" s="154">
        <v>375</v>
      </c>
      <c r="D5" s="155">
        <v>401</v>
      </c>
      <c r="E5" s="155">
        <v>482</v>
      </c>
      <c r="F5" s="155">
        <v>557</v>
      </c>
      <c r="G5" s="156">
        <v>621</v>
      </c>
      <c r="H5" s="154">
        <v>562</v>
      </c>
      <c r="I5" s="155">
        <v>602</v>
      </c>
      <c r="J5" s="155">
        <v>723</v>
      </c>
      <c r="K5" s="155">
        <v>835</v>
      </c>
      <c r="L5" s="155">
        <v>932</v>
      </c>
      <c r="M5" s="154">
        <v>750</v>
      </c>
      <c r="N5" s="155">
        <v>803</v>
      </c>
      <c r="O5" s="155">
        <v>964</v>
      </c>
      <c r="P5" s="155">
        <v>1114</v>
      </c>
      <c r="Q5" s="156">
        <v>1243</v>
      </c>
      <c r="R5" s="154">
        <v>937</v>
      </c>
      <c r="S5" s="155">
        <v>1004</v>
      </c>
      <c r="T5" s="155">
        <v>1205</v>
      </c>
      <c r="U5" s="155">
        <v>1392</v>
      </c>
      <c r="V5" s="155">
        <v>1553</v>
      </c>
      <c r="W5" s="154">
        <v>1125</v>
      </c>
      <c r="X5" s="155">
        <v>1205</v>
      </c>
      <c r="Y5" s="155">
        <v>1446</v>
      </c>
      <c r="Z5" s="155">
        <v>1671</v>
      </c>
      <c r="AA5" s="156">
        <v>1864</v>
      </c>
      <c r="AB5" s="154">
        <v>1312</v>
      </c>
      <c r="AC5" s="155">
        <v>1406</v>
      </c>
      <c r="AD5" s="155">
        <v>1687</v>
      </c>
      <c r="AE5" s="155">
        <v>1949</v>
      </c>
      <c r="AF5" s="156">
        <v>2175</v>
      </c>
      <c r="AG5" s="154">
        <v>1500</v>
      </c>
      <c r="AH5" s="155">
        <v>1607</v>
      </c>
      <c r="AI5" s="155">
        <v>1928</v>
      </c>
      <c r="AJ5" s="155">
        <v>2228</v>
      </c>
      <c r="AK5" s="156">
        <v>2486</v>
      </c>
      <c r="AL5"/>
      <c r="AM5" s="154">
        <v>563</v>
      </c>
      <c r="AN5" s="155">
        <v>603</v>
      </c>
      <c r="AO5" s="155">
        <v>723</v>
      </c>
      <c r="AP5" s="155">
        <v>896</v>
      </c>
      <c r="AQ5" s="156">
        <v>1109</v>
      </c>
      <c r="AR5"/>
      <c r="AS5" s="154">
        <v>562</v>
      </c>
      <c r="AT5" s="155">
        <v>602</v>
      </c>
      <c r="AU5" s="155">
        <v>723</v>
      </c>
      <c r="AV5" s="155">
        <v>896</v>
      </c>
      <c r="AW5" s="156">
        <v>1109</v>
      </c>
      <c r="AX5" s="154">
        <v>937</v>
      </c>
      <c r="AY5" s="155">
        <v>1004</v>
      </c>
      <c r="AZ5" s="155">
        <v>1205</v>
      </c>
      <c r="BA5" s="155">
        <v>1392</v>
      </c>
      <c r="BB5" s="156">
        <v>1553</v>
      </c>
      <c r="BC5" s="154">
        <v>1500</v>
      </c>
      <c r="BD5" s="155">
        <v>1607</v>
      </c>
      <c r="BE5" s="155">
        <v>1928</v>
      </c>
      <c r="BF5" s="155">
        <v>2228</v>
      </c>
      <c r="BG5" s="156">
        <v>2486</v>
      </c>
      <c r="BH5"/>
      <c r="BI5" s="154">
        <v>718</v>
      </c>
      <c r="BJ5" s="155">
        <v>722</v>
      </c>
      <c r="BK5" s="155">
        <v>948</v>
      </c>
      <c r="BL5" s="155">
        <v>1137</v>
      </c>
      <c r="BM5" s="156">
        <v>1590</v>
      </c>
      <c r="BN5"/>
      <c r="BO5" s="153" t="s">
        <v>82</v>
      </c>
      <c r="BP5" s="154">
        <v>718</v>
      </c>
      <c r="BQ5" s="155">
        <v>722</v>
      </c>
      <c r="BR5" s="155">
        <v>948</v>
      </c>
      <c r="BS5" s="155">
        <v>1137</v>
      </c>
      <c r="BT5" s="156">
        <v>1553</v>
      </c>
      <c r="BU5"/>
      <c r="BV5" s="153" t="s">
        <v>82</v>
      </c>
      <c r="BW5" s="154">
        <v>718</v>
      </c>
      <c r="BX5" s="155">
        <v>722</v>
      </c>
      <c r="BY5" s="155">
        <v>948</v>
      </c>
      <c r="BZ5" s="155">
        <v>1137</v>
      </c>
      <c r="CA5" s="156">
        <v>1590</v>
      </c>
    </row>
    <row r="6" spans="1:79" x14ac:dyDescent="0.25">
      <c r="A6" s="150" t="s">
        <v>83</v>
      </c>
      <c r="B6" s="496">
        <v>50750</v>
      </c>
      <c r="C6" s="151">
        <v>375</v>
      </c>
      <c r="D6" s="147">
        <v>401</v>
      </c>
      <c r="E6" s="147">
        <v>482</v>
      </c>
      <c r="F6" s="147">
        <v>557</v>
      </c>
      <c r="G6" s="152">
        <v>621</v>
      </c>
      <c r="H6" s="151">
        <v>562</v>
      </c>
      <c r="I6" s="147">
        <v>602</v>
      </c>
      <c r="J6" s="147">
        <v>723</v>
      </c>
      <c r="K6" s="147">
        <v>835</v>
      </c>
      <c r="L6" s="147">
        <v>932</v>
      </c>
      <c r="M6" s="151">
        <v>750</v>
      </c>
      <c r="N6" s="147">
        <v>803</v>
      </c>
      <c r="O6" s="147">
        <v>964</v>
      </c>
      <c r="P6" s="147">
        <v>1114</v>
      </c>
      <c r="Q6" s="152">
        <v>1243</v>
      </c>
      <c r="R6" s="151">
        <v>937</v>
      </c>
      <c r="S6" s="147">
        <v>1004</v>
      </c>
      <c r="T6" s="147">
        <v>1205</v>
      </c>
      <c r="U6" s="147">
        <v>1392</v>
      </c>
      <c r="V6" s="147">
        <v>1553</v>
      </c>
      <c r="W6" s="151">
        <v>1125</v>
      </c>
      <c r="X6" s="147">
        <v>1205</v>
      </c>
      <c r="Y6" s="147">
        <v>1446</v>
      </c>
      <c r="Z6" s="147">
        <v>1671</v>
      </c>
      <c r="AA6" s="152">
        <v>1864</v>
      </c>
      <c r="AB6" s="151">
        <v>1312</v>
      </c>
      <c r="AC6" s="147">
        <v>1406</v>
      </c>
      <c r="AD6" s="147">
        <v>1687</v>
      </c>
      <c r="AE6" s="147">
        <v>1949</v>
      </c>
      <c r="AF6" s="152">
        <v>2175</v>
      </c>
      <c r="AG6" s="151">
        <v>1500</v>
      </c>
      <c r="AH6" s="147">
        <v>1607</v>
      </c>
      <c r="AI6" s="147">
        <v>1928</v>
      </c>
      <c r="AJ6" s="147">
        <v>2228</v>
      </c>
      <c r="AK6" s="152">
        <v>2486</v>
      </c>
      <c r="AM6" s="151">
        <v>563</v>
      </c>
      <c r="AN6" s="147">
        <v>603</v>
      </c>
      <c r="AO6" s="147">
        <v>723</v>
      </c>
      <c r="AP6" s="147">
        <v>896</v>
      </c>
      <c r="AQ6" s="152">
        <v>1109</v>
      </c>
      <c r="AS6" s="151">
        <v>562</v>
      </c>
      <c r="AT6" s="147">
        <v>602</v>
      </c>
      <c r="AU6" s="147">
        <v>723</v>
      </c>
      <c r="AV6" s="147">
        <v>896</v>
      </c>
      <c r="AW6" s="152">
        <v>1109</v>
      </c>
      <c r="AX6" s="151">
        <v>937</v>
      </c>
      <c r="AY6" s="147">
        <v>1004</v>
      </c>
      <c r="AZ6" s="147">
        <v>1205</v>
      </c>
      <c r="BA6" s="147">
        <v>1392</v>
      </c>
      <c r="BB6" s="152">
        <v>1553</v>
      </c>
      <c r="BC6" s="151">
        <v>1500</v>
      </c>
      <c r="BD6" s="147">
        <v>1607</v>
      </c>
      <c r="BE6" s="147">
        <v>1928</v>
      </c>
      <c r="BF6" s="147">
        <v>2228</v>
      </c>
      <c r="BG6" s="152">
        <v>2486</v>
      </c>
      <c r="BI6" s="151">
        <v>760</v>
      </c>
      <c r="BJ6" s="147">
        <v>769</v>
      </c>
      <c r="BK6" s="147">
        <v>873</v>
      </c>
      <c r="BL6" s="147">
        <v>1214</v>
      </c>
      <c r="BM6" s="152">
        <v>1464</v>
      </c>
      <c r="BO6" s="150" t="s">
        <v>83</v>
      </c>
      <c r="BP6" s="151">
        <v>760</v>
      </c>
      <c r="BQ6" s="147">
        <v>769</v>
      </c>
      <c r="BR6" s="147">
        <v>873</v>
      </c>
      <c r="BS6" s="147">
        <v>1214</v>
      </c>
      <c r="BT6" s="152">
        <v>1464</v>
      </c>
      <c r="BV6" s="150" t="s">
        <v>83</v>
      </c>
      <c r="BW6" s="151">
        <v>760</v>
      </c>
      <c r="BX6" s="147">
        <v>769</v>
      </c>
      <c r="BY6" s="147">
        <v>873</v>
      </c>
      <c r="BZ6" s="147">
        <v>1214</v>
      </c>
      <c r="CA6" s="152">
        <v>1464</v>
      </c>
    </row>
    <row r="7" spans="1:79" s="157" customFormat="1" x14ac:dyDescent="0.25">
      <c r="A7" s="153" t="s">
        <v>84</v>
      </c>
      <c r="B7" s="497">
        <v>56850</v>
      </c>
      <c r="C7" s="154">
        <v>389</v>
      </c>
      <c r="D7" s="155">
        <v>417</v>
      </c>
      <c r="E7" s="155">
        <v>500</v>
      </c>
      <c r="F7" s="155">
        <v>578</v>
      </c>
      <c r="G7" s="156">
        <v>645</v>
      </c>
      <c r="H7" s="154">
        <v>584</v>
      </c>
      <c r="I7" s="155">
        <v>625</v>
      </c>
      <c r="J7" s="155">
        <v>750</v>
      </c>
      <c r="K7" s="155">
        <v>867</v>
      </c>
      <c r="L7" s="155">
        <v>967</v>
      </c>
      <c r="M7" s="154">
        <v>779</v>
      </c>
      <c r="N7" s="155">
        <v>834</v>
      </c>
      <c r="O7" s="155">
        <v>1001</v>
      </c>
      <c r="P7" s="155">
        <v>1156</v>
      </c>
      <c r="Q7" s="156">
        <v>1290</v>
      </c>
      <c r="R7" s="154">
        <v>973</v>
      </c>
      <c r="S7" s="155">
        <v>1043</v>
      </c>
      <c r="T7" s="155">
        <v>1251</v>
      </c>
      <c r="U7" s="155">
        <v>1445</v>
      </c>
      <c r="V7" s="155">
        <v>1612</v>
      </c>
      <c r="W7" s="154">
        <v>1168</v>
      </c>
      <c r="X7" s="155">
        <v>1251</v>
      </c>
      <c r="Y7" s="155">
        <v>1501</v>
      </c>
      <c r="Z7" s="155">
        <v>1734</v>
      </c>
      <c r="AA7" s="156">
        <v>1935</v>
      </c>
      <c r="AB7" s="154">
        <v>1363</v>
      </c>
      <c r="AC7" s="155">
        <v>1460</v>
      </c>
      <c r="AD7" s="155">
        <v>1751</v>
      </c>
      <c r="AE7" s="155">
        <v>2023</v>
      </c>
      <c r="AF7" s="156">
        <v>2257</v>
      </c>
      <c r="AG7" s="154">
        <v>1558</v>
      </c>
      <c r="AH7" s="155">
        <v>1669</v>
      </c>
      <c r="AI7" s="155">
        <v>2002</v>
      </c>
      <c r="AJ7" s="155">
        <v>2313</v>
      </c>
      <c r="AK7" s="156">
        <v>2580</v>
      </c>
      <c r="AL7"/>
      <c r="AM7" s="154">
        <v>583</v>
      </c>
      <c r="AN7" s="155">
        <v>625</v>
      </c>
      <c r="AO7" s="155">
        <v>751</v>
      </c>
      <c r="AP7" s="155">
        <v>896</v>
      </c>
      <c r="AQ7" s="156">
        <v>1109</v>
      </c>
      <c r="AR7"/>
      <c r="AS7" s="154">
        <v>584</v>
      </c>
      <c r="AT7" s="155">
        <v>625</v>
      </c>
      <c r="AU7" s="155">
        <v>750</v>
      </c>
      <c r="AV7" s="155">
        <v>900</v>
      </c>
      <c r="AW7" s="156">
        <v>1109</v>
      </c>
      <c r="AX7" s="154">
        <v>973</v>
      </c>
      <c r="AY7" s="155">
        <v>1043</v>
      </c>
      <c r="AZ7" s="155">
        <v>1251</v>
      </c>
      <c r="BA7" s="155">
        <v>1445</v>
      </c>
      <c r="BB7" s="156">
        <v>1612</v>
      </c>
      <c r="BC7" s="154">
        <v>1558</v>
      </c>
      <c r="BD7" s="155">
        <v>1669</v>
      </c>
      <c r="BE7" s="155">
        <v>2002</v>
      </c>
      <c r="BF7" s="155">
        <v>2313</v>
      </c>
      <c r="BG7" s="156">
        <v>2580</v>
      </c>
      <c r="BH7"/>
      <c r="BI7" s="154">
        <v>697</v>
      </c>
      <c r="BJ7" s="155">
        <v>702</v>
      </c>
      <c r="BK7" s="155">
        <v>873</v>
      </c>
      <c r="BL7" s="155">
        <v>1214</v>
      </c>
      <c r="BM7" s="156">
        <v>1464</v>
      </c>
      <c r="BN7"/>
      <c r="BO7" s="153" t="s">
        <v>84</v>
      </c>
      <c r="BP7" s="154">
        <v>697</v>
      </c>
      <c r="BQ7" s="155">
        <v>702</v>
      </c>
      <c r="BR7" s="155">
        <v>873</v>
      </c>
      <c r="BS7" s="155">
        <v>1214</v>
      </c>
      <c r="BT7" s="156">
        <v>1464</v>
      </c>
      <c r="BU7"/>
      <c r="BV7" s="153" t="s">
        <v>84</v>
      </c>
      <c r="BW7" s="154">
        <v>697</v>
      </c>
      <c r="BX7" s="155">
        <v>702</v>
      </c>
      <c r="BY7" s="155">
        <v>873</v>
      </c>
      <c r="BZ7" s="155">
        <v>1214</v>
      </c>
      <c r="CA7" s="156">
        <v>1464</v>
      </c>
    </row>
    <row r="8" spans="1:79" x14ac:dyDescent="0.25">
      <c r="A8" s="150" t="s">
        <v>85</v>
      </c>
      <c r="B8" s="496">
        <v>53850</v>
      </c>
      <c r="C8" s="151">
        <v>390</v>
      </c>
      <c r="D8" s="147">
        <v>417</v>
      </c>
      <c r="E8" s="147">
        <v>501</v>
      </c>
      <c r="F8" s="147">
        <v>578</v>
      </c>
      <c r="G8" s="152">
        <v>646</v>
      </c>
      <c r="H8" s="151">
        <v>585</v>
      </c>
      <c r="I8" s="147">
        <v>626</v>
      </c>
      <c r="J8" s="147">
        <v>751</v>
      </c>
      <c r="K8" s="147">
        <v>868</v>
      </c>
      <c r="L8" s="147">
        <v>969</v>
      </c>
      <c r="M8" s="151">
        <v>780</v>
      </c>
      <c r="N8" s="147">
        <v>835</v>
      </c>
      <c r="O8" s="147">
        <v>1002</v>
      </c>
      <c r="P8" s="147">
        <v>1158</v>
      </c>
      <c r="Q8" s="152">
        <v>1292</v>
      </c>
      <c r="R8" s="151">
        <v>975</v>
      </c>
      <c r="S8" s="147">
        <v>1044</v>
      </c>
      <c r="T8" s="147">
        <v>1252</v>
      </c>
      <c r="U8" s="147">
        <v>1447</v>
      </c>
      <c r="V8" s="147">
        <v>1615</v>
      </c>
      <c r="W8" s="151">
        <v>1170</v>
      </c>
      <c r="X8" s="147">
        <v>1253</v>
      </c>
      <c r="Y8" s="147">
        <v>1503</v>
      </c>
      <c r="Z8" s="147">
        <v>1737</v>
      </c>
      <c r="AA8" s="152">
        <v>1938</v>
      </c>
      <c r="AB8" s="151">
        <v>1365</v>
      </c>
      <c r="AC8" s="147">
        <v>1462</v>
      </c>
      <c r="AD8" s="147">
        <v>1753</v>
      </c>
      <c r="AE8" s="147">
        <v>2026</v>
      </c>
      <c r="AF8" s="152">
        <v>2261</v>
      </c>
      <c r="AG8" s="151">
        <v>1560</v>
      </c>
      <c r="AH8" s="147">
        <v>1671</v>
      </c>
      <c r="AI8" s="147">
        <v>2004</v>
      </c>
      <c r="AJ8" s="147">
        <v>2316</v>
      </c>
      <c r="AK8" s="152">
        <v>2584</v>
      </c>
      <c r="AM8" s="151">
        <v>585</v>
      </c>
      <c r="AN8" s="147">
        <v>626</v>
      </c>
      <c r="AO8" s="147">
        <v>752</v>
      </c>
      <c r="AP8" s="147">
        <v>896</v>
      </c>
      <c r="AQ8" s="152">
        <v>1109</v>
      </c>
      <c r="AS8" s="151">
        <v>585</v>
      </c>
      <c r="AT8" s="147">
        <v>626</v>
      </c>
      <c r="AU8" s="147">
        <v>751</v>
      </c>
      <c r="AV8" s="147">
        <v>900</v>
      </c>
      <c r="AW8" s="152">
        <v>1109</v>
      </c>
      <c r="AX8" s="151">
        <v>975</v>
      </c>
      <c r="AY8" s="147">
        <v>1044</v>
      </c>
      <c r="AZ8" s="147">
        <v>1252</v>
      </c>
      <c r="BA8" s="147">
        <v>1447</v>
      </c>
      <c r="BB8" s="152">
        <v>1615</v>
      </c>
      <c r="BC8" s="151">
        <v>1560</v>
      </c>
      <c r="BD8" s="147">
        <v>1671</v>
      </c>
      <c r="BE8" s="147">
        <v>2004</v>
      </c>
      <c r="BF8" s="147">
        <v>2316</v>
      </c>
      <c r="BG8" s="152">
        <v>2584</v>
      </c>
      <c r="BI8" s="151">
        <v>760</v>
      </c>
      <c r="BJ8" s="147">
        <v>796</v>
      </c>
      <c r="BK8" s="147">
        <v>873</v>
      </c>
      <c r="BL8" s="147">
        <v>1153</v>
      </c>
      <c r="BM8" s="152">
        <v>1464</v>
      </c>
      <c r="BO8" s="150" t="s">
        <v>85</v>
      </c>
      <c r="BP8" s="151">
        <v>760</v>
      </c>
      <c r="BQ8" s="147">
        <v>796</v>
      </c>
      <c r="BR8" s="147">
        <v>873</v>
      </c>
      <c r="BS8" s="147">
        <v>1153</v>
      </c>
      <c r="BT8" s="152">
        <v>1464</v>
      </c>
      <c r="BV8" s="150" t="s">
        <v>85</v>
      </c>
      <c r="BW8" s="151">
        <v>760</v>
      </c>
      <c r="BX8" s="147">
        <v>796</v>
      </c>
      <c r="BY8" s="147">
        <v>873</v>
      </c>
      <c r="BZ8" s="147">
        <v>1153</v>
      </c>
      <c r="CA8" s="152">
        <v>1464</v>
      </c>
    </row>
    <row r="9" spans="1:79" s="157" customFormat="1" x14ac:dyDescent="0.25">
      <c r="A9" s="153" t="s">
        <v>86</v>
      </c>
      <c r="B9" s="497">
        <v>50750</v>
      </c>
      <c r="C9" s="154">
        <v>375</v>
      </c>
      <c r="D9" s="155">
        <v>401</v>
      </c>
      <c r="E9" s="155">
        <v>482</v>
      </c>
      <c r="F9" s="155">
        <v>557</v>
      </c>
      <c r="G9" s="156">
        <v>621</v>
      </c>
      <c r="H9" s="154">
        <v>562</v>
      </c>
      <c r="I9" s="155">
        <v>602</v>
      </c>
      <c r="J9" s="155">
        <v>723</v>
      </c>
      <c r="K9" s="155">
        <v>835</v>
      </c>
      <c r="L9" s="155">
        <v>932</v>
      </c>
      <c r="M9" s="154">
        <v>750</v>
      </c>
      <c r="N9" s="155">
        <v>803</v>
      </c>
      <c r="O9" s="155">
        <v>964</v>
      </c>
      <c r="P9" s="155">
        <v>1114</v>
      </c>
      <c r="Q9" s="156">
        <v>1243</v>
      </c>
      <c r="R9" s="154">
        <v>937</v>
      </c>
      <c r="S9" s="155">
        <v>1004</v>
      </c>
      <c r="T9" s="155">
        <v>1205</v>
      </c>
      <c r="U9" s="155">
        <v>1392</v>
      </c>
      <c r="V9" s="155">
        <v>1553</v>
      </c>
      <c r="W9" s="154">
        <v>1125</v>
      </c>
      <c r="X9" s="155">
        <v>1205</v>
      </c>
      <c r="Y9" s="155">
        <v>1446</v>
      </c>
      <c r="Z9" s="155">
        <v>1671</v>
      </c>
      <c r="AA9" s="156">
        <v>1864</v>
      </c>
      <c r="AB9" s="154">
        <v>1312</v>
      </c>
      <c r="AC9" s="155">
        <v>1406</v>
      </c>
      <c r="AD9" s="155">
        <v>1687</v>
      </c>
      <c r="AE9" s="155">
        <v>1949</v>
      </c>
      <c r="AF9" s="156">
        <v>2175</v>
      </c>
      <c r="AG9" s="154">
        <v>1500</v>
      </c>
      <c r="AH9" s="155">
        <v>1607</v>
      </c>
      <c r="AI9" s="155">
        <v>1928</v>
      </c>
      <c r="AJ9" s="155">
        <v>2228</v>
      </c>
      <c r="AK9" s="156">
        <v>2486</v>
      </c>
      <c r="AL9"/>
      <c r="AM9" s="154">
        <v>563</v>
      </c>
      <c r="AN9" s="155">
        <v>603</v>
      </c>
      <c r="AO9" s="155">
        <v>723</v>
      </c>
      <c r="AP9" s="155">
        <v>896</v>
      </c>
      <c r="AQ9" s="156">
        <v>1109</v>
      </c>
      <c r="AR9"/>
      <c r="AS9" s="154">
        <v>562</v>
      </c>
      <c r="AT9" s="155">
        <v>602</v>
      </c>
      <c r="AU9" s="155">
        <v>723</v>
      </c>
      <c r="AV9" s="155">
        <v>896</v>
      </c>
      <c r="AW9" s="156">
        <v>1109</v>
      </c>
      <c r="AX9" s="154">
        <v>937</v>
      </c>
      <c r="AY9" s="155">
        <v>1004</v>
      </c>
      <c r="AZ9" s="155">
        <v>1205</v>
      </c>
      <c r="BA9" s="155">
        <v>1392</v>
      </c>
      <c r="BB9" s="156">
        <v>1553</v>
      </c>
      <c r="BC9" s="154">
        <v>1500</v>
      </c>
      <c r="BD9" s="155">
        <v>1607</v>
      </c>
      <c r="BE9" s="155">
        <v>1928</v>
      </c>
      <c r="BF9" s="155">
        <v>2228</v>
      </c>
      <c r="BG9" s="156">
        <v>2486</v>
      </c>
      <c r="BH9"/>
      <c r="BI9" s="154">
        <v>760</v>
      </c>
      <c r="BJ9" s="155">
        <v>796</v>
      </c>
      <c r="BK9" s="155">
        <v>873</v>
      </c>
      <c r="BL9" s="155">
        <v>1214</v>
      </c>
      <c r="BM9" s="156">
        <v>1427</v>
      </c>
      <c r="BN9"/>
      <c r="BO9" s="153" t="s">
        <v>86</v>
      </c>
      <c r="BP9" s="154">
        <v>760</v>
      </c>
      <c r="BQ9" s="155">
        <v>796</v>
      </c>
      <c r="BR9" s="155">
        <v>873</v>
      </c>
      <c r="BS9" s="155">
        <v>1214</v>
      </c>
      <c r="BT9" s="156">
        <v>1427</v>
      </c>
      <c r="BU9"/>
      <c r="BV9" s="153" t="s">
        <v>86</v>
      </c>
      <c r="BW9" s="154">
        <v>760</v>
      </c>
      <c r="BX9" s="155">
        <v>796</v>
      </c>
      <c r="BY9" s="155">
        <v>873</v>
      </c>
      <c r="BZ9" s="155">
        <v>1214</v>
      </c>
      <c r="CA9" s="156">
        <v>1427</v>
      </c>
    </row>
    <row r="10" spans="1:79" x14ac:dyDescent="0.25">
      <c r="A10" s="150" t="s">
        <v>87</v>
      </c>
      <c r="B10" s="496">
        <v>59200</v>
      </c>
      <c r="C10" s="151">
        <v>425</v>
      </c>
      <c r="D10" s="147">
        <v>455</v>
      </c>
      <c r="E10" s="147">
        <v>546</v>
      </c>
      <c r="F10" s="147">
        <v>631</v>
      </c>
      <c r="G10" s="152">
        <v>704</v>
      </c>
      <c r="H10" s="151">
        <v>637</v>
      </c>
      <c r="I10" s="147">
        <v>683</v>
      </c>
      <c r="J10" s="147">
        <v>819</v>
      </c>
      <c r="K10" s="147">
        <v>947</v>
      </c>
      <c r="L10" s="147">
        <v>1056</v>
      </c>
      <c r="M10" s="151">
        <v>850</v>
      </c>
      <c r="N10" s="147">
        <v>911</v>
      </c>
      <c r="O10" s="147">
        <v>1093</v>
      </c>
      <c r="P10" s="147">
        <v>1263</v>
      </c>
      <c r="Q10" s="152">
        <v>1409</v>
      </c>
      <c r="R10" s="151">
        <v>1062</v>
      </c>
      <c r="S10" s="147">
        <v>1138</v>
      </c>
      <c r="T10" s="147">
        <v>1366</v>
      </c>
      <c r="U10" s="147">
        <v>1578</v>
      </c>
      <c r="V10" s="147">
        <v>1761</v>
      </c>
      <c r="W10" s="151">
        <v>1275</v>
      </c>
      <c r="X10" s="147">
        <v>1366</v>
      </c>
      <c r="Y10" s="147">
        <v>1639</v>
      </c>
      <c r="Z10" s="147">
        <v>1894</v>
      </c>
      <c r="AA10" s="152">
        <v>2113</v>
      </c>
      <c r="AB10" s="151">
        <v>1487</v>
      </c>
      <c r="AC10" s="147">
        <v>1594</v>
      </c>
      <c r="AD10" s="147">
        <v>1912</v>
      </c>
      <c r="AE10" s="147">
        <v>2210</v>
      </c>
      <c r="AF10" s="152">
        <v>2465</v>
      </c>
      <c r="AG10" s="151">
        <v>1700</v>
      </c>
      <c r="AH10" s="147">
        <v>1822</v>
      </c>
      <c r="AI10" s="147">
        <v>2186</v>
      </c>
      <c r="AJ10" s="147">
        <v>2526</v>
      </c>
      <c r="AK10" s="152">
        <v>2818</v>
      </c>
      <c r="AM10" s="151">
        <v>637</v>
      </c>
      <c r="AN10" s="147">
        <v>683</v>
      </c>
      <c r="AO10" s="147">
        <v>820</v>
      </c>
      <c r="AP10" s="147">
        <v>946</v>
      </c>
      <c r="AQ10" s="152">
        <v>1109</v>
      </c>
      <c r="AS10" s="151">
        <v>637</v>
      </c>
      <c r="AT10" s="147">
        <v>683</v>
      </c>
      <c r="AU10" s="147">
        <v>819</v>
      </c>
      <c r="AV10" s="147">
        <v>947</v>
      </c>
      <c r="AW10" s="152">
        <v>1109</v>
      </c>
      <c r="AX10" s="151">
        <v>1062</v>
      </c>
      <c r="AY10" s="147">
        <v>1138</v>
      </c>
      <c r="AZ10" s="147">
        <v>1366</v>
      </c>
      <c r="BA10" s="147">
        <v>1578</v>
      </c>
      <c r="BB10" s="152">
        <v>1761</v>
      </c>
      <c r="BC10" s="151">
        <v>1700</v>
      </c>
      <c r="BD10" s="147">
        <v>1822</v>
      </c>
      <c r="BE10" s="147">
        <v>2186</v>
      </c>
      <c r="BF10" s="147">
        <v>2526</v>
      </c>
      <c r="BG10" s="152">
        <v>2818</v>
      </c>
      <c r="BI10" s="151">
        <v>661</v>
      </c>
      <c r="BJ10" s="147">
        <v>665</v>
      </c>
      <c r="BK10" s="147">
        <v>873</v>
      </c>
      <c r="BL10" s="147">
        <v>1101</v>
      </c>
      <c r="BM10" s="152">
        <v>1464</v>
      </c>
      <c r="BO10" s="150" t="s">
        <v>87</v>
      </c>
      <c r="BP10" s="151">
        <v>661</v>
      </c>
      <c r="BQ10" s="147">
        <v>665</v>
      </c>
      <c r="BR10" s="147">
        <v>873</v>
      </c>
      <c r="BS10" s="147">
        <v>1101</v>
      </c>
      <c r="BT10" s="152">
        <v>1464</v>
      </c>
      <c r="BV10" s="150" t="s">
        <v>87</v>
      </c>
      <c r="BW10" s="151">
        <v>661</v>
      </c>
      <c r="BX10" s="147">
        <v>665</v>
      </c>
      <c r="BY10" s="147">
        <v>873</v>
      </c>
      <c r="BZ10" s="147">
        <v>1101</v>
      </c>
      <c r="CA10" s="152">
        <v>1464</v>
      </c>
    </row>
    <row r="11" spans="1:79" s="157" customFormat="1" x14ac:dyDescent="0.25">
      <c r="A11" s="153" t="s">
        <v>88</v>
      </c>
      <c r="B11" s="497">
        <v>54250</v>
      </c>
      <c r="C11" s="154">
        <v>395</v>
      </c>
      <c r="D11" s="155">
        <v>423</v>
      </c>
      <c r="E11" s="155">
        <v>508</v>
      </c>
      <c r="F11" s="155">
        <v>587</v>
      </c>
      <c r="G11" s="156">
        <v>655</v>
      </c>
      <c r="H11" s="154">
        <v>593</v>
      </c>
      <c r="I11" s="155">
        <v>635</v>
      </c>
      <c r="J11" s="155">
        <v>762</v>
      </c>
      <c r="K11" s="155">
        <v>881</v>
      </c>
      <c r="L11" s="155">
        <v>983</v>
      </c>
      <c r="M11" s="154">
        <v>791</v>
      </c>
      <c r="N11" s="155">
        <v>847</v>
      </c>
      <c r="O11" s="155">
        <v>1017</v>
      </c>
      <c r="P11" s="155">
        <v>1175</v>
      </c>
      <c r="Q11" s="156">
        <v>1311</v>
      </c>
      <c r="R11" s="154">
        <v>988</v>
      </c>
      <c r="S11" s="155">
        <v>1059</v>
      </c>
      <c r="T11" s="155">
        <v>1271</v>
      </c>
      <c r="U11" s="155">
        <v>1469</v>
      </c>
      <c r="V11" s="155">
        <v>1638</v>
      </c>
      <c r="W11" s="154">
        <v>1186</v>
      </c>
      <c r="X11" s="155">
        <v>1271</v>
      </c>
      <c r="Y11" s="155">
        <v>1525</v>
      </c>
      <c r="Z11" s="155">
        <v>1763</v>
      </c>
      <c r="AA11" s="156">
        <v>1966</v>
      </c>
      <c r="AB11" s="154">
        <v>1384</v>
      </c>
      <c r="AC11" s="155">
        <v>1483</v>
      </c>
      <c r="AD11" s="155">
        <v>1779</v>
      </c>
      <c r="AE11" s="155">
        <v>2057</v>
      </c>
      <c r="AF11" s="156">
        <v>2294</v>
      </c>
      <c r="AG11" s="154">
        <v>1582</v>
      </c>
      <c r="AH11" s="155">
        <v>1695</v>
      </c>
      <c r="AI11" s="155">
        <v>2034</v>
      </c>
      <c r="AJ11" s="155">
        <v>2351</v>
      </c>
      <c r="AK11" s="156">
        <v>2622</v>
      </c>
      <c r="AL11"/>
      <c r="AM11" s="154">
        <v>593</v>
      </c>
      <c r="AN11" s="155">
        <v>636</v>
      </c>
      <c r="AO11" s="155">
        <v>763</v>
      </c>
      <c r="AP11" s="155">
        <v>896</v>
      </c>
      <c r="AQ11" s="156">
        <v>1109</v>
      </c>
      <c r="AR11"/>
      <c r="AS11" s="154">
        <v>593</v>
      </c>
      <c r="AT11" s="155">
        <v>635</v>
      </c>
      <c r="AU11" s="155">
        <v>762</v>
      </c>
      <c r="AV11" s="155">
        <v>907</v>
      </c>
      <c r="AW11" s="156">
        <v>1109</v>
      </c>
      <c r="AX11" s="154">
        <v>988</v>
      </c>
      <c r="AY11" s="155">
        <v>1059</v>
      </c>
      <c r="AZ11" s="155">
        <v>1271</v>
      </c>
      <c r="BA11" s="155">
        <v>1469</v>
      </c>
      <c r="BB11" s="156">
        <v>1638</v>
      </c>
      <c r="BC11" s="154">
        <v>1582</v>
      </c>
      <c r="BD11" s="155">
        <v>1695</v>
      </c>
      <c r="BE11" s="155">
        <v>2034</v>
      </c>
      <c r="BF11" s="155">
        <v>2351</v>
      </c>
      <c r="BG11" s="156">
        <v>2622</v>
      </c>
      <c r="BH11"/>
      <c r="BI11" s="154">
        <v>961</v>
      </c>
      <c r="BJ11" s="155">
        <v>1030</v>
      </c>
      <c r="BK11" s="155">
        <v>1175</v>
      </c>
      <c r="BL11" s="155">
        <v>1634</v>
      </c>
      <c r="BM11" s="156">
        <v>1884</v>
      </c>
      <c r="BN11"/>
      <c r="BO11" s="153" t="s">
        <v>88</v>
      </c>
      <c r="BP11" s="154">
        <v>961</v>
      </c>
      <c r="BQ11" s="155">
        <v>1030</v>
      </c>
      <c r="BR11" s="155">
        <v>1175</v>
      </c>
      <c r="BS11" s="155">
        <v>1540</v>
      </c>
      <c r="BT11" s="156">
        <v>1718</v>
      </c>
      <c r="BU11"/>
      <c r="BV11" s="153" t="s">
        <v>88</v>
      </c>
      <c r="BW11" s="154">
        <v>961</v>
      </c>
      <c r="BX11" s="155">
        <v>1030</v>
      </c>
      <c r="BY11" s="155">
        <v>1175</v>
      </c>
      <c r="BZ11" s="155">
        <v>1634</v>
      </c>
      <c r="CA11" s="156">
        <v>1884</v>
      </c>
    </row>
    <row r="12" spans="1:79" x14ac:dyDescent="0.25">
      <c r="A12" s="150" t="s">
        <v>89</v>
      </c>
      <c r="B12" s="496">
        <v>52950</v>
      </c>
      <c r="C12" s="151">
        <v>403</v>
      </c>
      <c r="D12" s="147">
        <v>432</v>
      </c>
      <c r="E12" s="147">
        <v>518</v>
      </c>
      <c r="F12" s="147">
        <v>599</v>
      </c>
      <c r="G12" s="152">
        <v>668</v>
      </c>
      <c r="H12" s="151">
        <v>605</v>
      </c>
      <c r="I12" s="147">
        <v>648</v>
      </c>
      <c r="J12" s="147">
        <v>777</v>
      </c>
      <c r="K12" s="147">
        <v>898</v>
      </c>
      <c r="L12" s="147">
        <v>1002</v>
      </c>
      <c r="M12" s="151">
        <v>807</v>
      </c>
      <c r="N12" s="147">
        <v>864</v>
      </c>
      <c r="O12" s="147">
        <v>1037</v>
      </c>
      <c r="P12" s="147">
        <v>1198</v>
      </c>
      <c r="Q12" s="152">
        <v>1337</v>
      </c>
      <c r="R12" s="151">
        <v>1008</v>
      </c>
      <c r="S12" s="147">
        <v>1080</v>
      </c>
      <c r="T12" s="147">
        <v>1296</v>
      </c>
      <c r="U12" s="147">
        <v>1498</v>
      </c>
      <c r="V12" s="147">
        <v>1671</v>
      </c>
      <c r="W12" s="151">
        <v>1210</v>
      </c>
      <c r="X12" s="147">
        <v>1296</v>
      </c>
      <c r="Y12" s="147">
        <v>1555</v>
      </c>
      <c r="Z12" s="147">
        <v>1797</v>
      </c>
      <c r="AA12" s="152">
        <v>2005</v>
      </c>
      <c r="AB12" s="151">
        <v>1412</v>
      </c>
      <c r="AC12" s="147">
        <v>1512</v>
      </c>
      <c r="AD12" s="147">
        <v>1814</v>
      </c>
      <c r="AE12" s="147">
        <v>2097</v>
      </c>
      <c r="AF12" s="152">
        <v>2339</v>
      </c>
      <c r="AG12" s="151">
        <v>1614</v>
      </c>
      <c r="AH12" s="147">
        <v>1729</v>
      </c>
      <c r="AI12" s="147">
        <v>2074</v>
      </c>
      <c r="AJ12" s="147">
        <v>2397</v>
      </c>
      <c r="AK12" s="152">
        <v>2674</v>
      </c>
      <c r="AM12" s="151">
        <v>605</v>
      </c>
      <c r="AN12" s="147">
        <v>648</v>
      </c>
      <c r="AO12" s="147">
        <v>777</v>
      </c>
      <c r="AP12" s="147">
        <v>898</v>
      </c>
      <c r="AQ12" s="152">
        <v>1109</v>
      </c>
      <c r="AS12" s="151">
        <v>605</v>
      </c>
      <c r="AT12" s="147">
        <v>648</v>
      </c>
      <c r="AU12" s="147">
        <v>777</v>
      </c>
      <c r="AV12" s="147">
        <v>915</v>
      </c>
      <c r="AW12" s="152">
        <v>1109</v>
      </c>
      <c r="AX12" s="151">
        <v>1008</v>
      </c>
      <c r="AY12" s="147">
        <v>1080</v>
      </c>
      <c r="AZ12" s="147">
        <v>1296</v>
      </c>
      <c r="BA12" s="147">
        <v>1498</v>
      </c>
      <c r="BB12" s="152">
        <v>1671</v>
      </c>
      <c r="BC12" s="151">
        <v>1614</v>
      </c>
      <c r="BD12" s="147">
        <v>1729</v>
      </c>
      <c r="BE12" s="147">
        <v>2074</v>
      </c>
      <c r="BF12" s="147">
        <v>2397</v>
      </c>
      <c r="BG12" s="152">
        <v>2674</v>
      </c>
      <c r="BI12" s="151">
        <v>768</v>
      </c>
      <c r="BJ12" s="147">
        <v>917</v>
      </c>
      <c r="BK12" s="147">
        <v>1112</v>
      </c>
      <c r="BL12" s="147">
        <v>1547</v>
      </c>
      <c r="BM12" s="152">
        <v>1865</v>
      </c>
      <c r="BO12" s="150" t="s">
        <v>89</v>
      </c>
      <c r="BP12" s="151">
        <v>768</v>
      </c>
      <c r="BQ12" s="147">
        <v>917</v>
      </c>
      <c r="BR12" s="147">
        <v>1112</v>
      </c>
      <c r="BS12" s="147">
        <v>1503</v>
      </c>
      <c r="BT12" s="152">
        <v>1676</v>
      </c>
      <c r="BV12" s="150" t="s">
        <v>89</v>
      </c>
      <c r="BW12" s="151">
        <v>768</v>
      </c>
      <c r="BX12" s="147">
        <v>917</v>
      </c>
      <c r="BY12" s="147">
        <v>1112</v>
      </c>
      <c r="BZ12" s="147">
        <v>1547</v>
      </c>
      <c r="CA12" s="152">
        <v>1865</v>
      </c>
    </row>
    <row r="13" spans="1:79" s="157" customFormat="1" x14ac:dyDescent="0.25">
      <c r="A13" s="153" t="s">
        <v>90</v>
      </c>
      <c r="B13" s="497">
        <v>50750</v>
      </c>
      <c r="C13" s="154">
        <v>375</v>
      </c>
      <c r="D13" s="155">
        <v>401</v>
      </c>
      <c r="E13" s="155">
        <v>482</v>
      </c>
      <c r="F13" s="155">
        <v>557</v>
      </c>
      <c r="G13" s="156">
        <v>621</v>
      </c>
      <c r="H13" s="154">
        <v>562</v>
      </c>
      <c r="I13" s="155">
        <v>602</v>
      </c>
      <c r="J13" s="155">
        <v>723</v>
      </c>
      <c r="K13" s="155">
        <v>835</v>
      </c>
      <c r="L13" s="155">
        <v>932</v>
      </c>
      <c r="M13" s="154">
        <v>750</v>
      </c>
      <c r="N13" s="155">
        <v>803</v>
      </c>
      <c r="O13" s="155">
        <v>964</v>
      </c>
      <c r="P13" s="155">
        <v>1114</v>
      </c>
      <c r="Q13" s="156">
        <v>1243</v>
      </c>
      <c r="R13" s="154">
        <v>937</v>
      </c>
      <c r="S13" s="155">
        <v>1004</v>
      </c>
      <c r="T13" s="155">
        <v>1205</v>
      </c>
      <c r="U13" s="155">
        <v>1392</v>
      </c>
      <c r="V13" s="155">
        <v>1553</v>
      </c>
      <c r="W13" s="154">
        <v>1125</v>
      </c>
      <c r="X13" s="155">
        <v>1205</v>
      </c>
      <c r="Y13" s="155">
        <v>1446</v>
      </c>
      <c r="Z13" s="155">
        <v>1671</v>
      </c>
      <c r="AA13" s="156">
        <v>1864</v>
      </c>
      <c r="AB13" s="154">
        <v>1312</v>
      </c>
      <c r="AC13" s="155">
        <v>1406</v>
      </c>
      <c r="AD13" s="155">
        <v>1687</v>
      </c>
      <c r="AE13" s="155">
        <v>1949</v>
      </c>
      <c r="AF13" s="156">
        <v>2175</v>
      </c>
      <c r="AG13" s="154">
        <v>1500</v>
      </c>
      <c r="AH13" s="155">
        <v>1607</v>
      </c>
      <c r="AI13" s="155">
        <v>1928</v>
      </c>
      <c r="AJ13" s="155">
        <v>2228</v>
      </c>
      <c r="AK13" s="156">
        <v>2486</v>
      </c>
      <c r="AL13"/>
      <c r="AM13" s="154">
        <v>563</v>
      </c>
      <c r="AN13" s="155">
        <v>603</v>
      </c>
      <c r="AO13" s="155">
        <v>723</v>
      </c>
      <c r="AP13" s="155">
        <v>896</v>
      </c>
      <c r="AQ13" s="156">
        <v>1109</v>
      </c>
      <c r="AR13"/>
      <c r="AS13" s="154">
        <v>562</v>
      </c>
      <c r="AT13" s="155">
        <v>602</v>
      </c>
      <c r="AU13" s="155">
        <v>723</v>
      </c>
      <c r="AV13" s="155">
        <v>896</v>
      </c>
      <c r="AW13" s="156">
        <v>1109</v>
      </c>
      <c r="AX13" s="154">
        <v>937</v>
      </c>
      <c r="AY13" s="155">
        <v>1004</v>
      </c>
      <c r="AZ13" s="155">
        <v>1205</v>
      </c>
      <c r="BA13" s="155">
        <v>1392</v>
      </c>
      <c r="BB13" s="156">
        <v>1553</v>
      </c>
      <c r="BC13" s="154">
        <v>1500</v>
      </c>
      <c r="BD13" s="155">
        <v>1607</v>
      </c>
      <c r="BE13" s="155">
        <v>1928</v>
      </c>
      <c r="BF13" s="155">
        <v>2228</v>
      </c>
      <c r="BG13" s="156">
        <v>2486</v>
      </c>
      <c r="BH13"/>
      <c r="BI13" s="154">
        <v>697</v>
      </c>
      <c r="BJ13" s="155">
        <v>702</v>
      </c>
      <c r="BK13" s="155">
        <v>873</v>
      </c>
      <c r="BL13" s="155">
        <v>1170</v>
      </c>
      <c r="BM13" s="156">
        <v>1464</v>
      </c>
      <c r="BN13"/>
      <c r="BO13" s="153" t="s">
        <v>90</v>
      </c>
      <c r="BP13" s="154">
        <v>697</v>
      </c>
      <c r="BQ13" s="155">
        <v>702</v>
      </c>
      <c r="BR13" s="155">
        <v>873</v>
      </c>
      <c r="BS13" s="155">
        <v>1170</v>
      </c>
      <c r="BT13" s="156">
        <v>1464</v>
      </c>
      <c r="BU13"/>
      <c r="BV13" s="153" t="s">
        <v>90</v>
      </c>
      <c r="BW13" s="154">
        <v>697</v>
      </c>
      <c r="BX13" s="155">
        <v>702</v>
      </c>
      <c r="BY13" s="155">
        <v>873</v>
      </c>
      <c r="BZ13" s="155">
        <v>1170</v>
      </c>
      <c r="CA13" s="156">
        <v>1464</v>
      </c>
    </row>
    <row r="14" spans="1:79" x14ac:dyDescent="0.25">
      <c r="A14" s="150" t="s">
        <v>91</v>
      </c>
      <c r="B14" s="496">
        <v>50750</v>
      </c>
      <c r="C14" s="151">
        <v>375</v>
      </c>
      <c r="D14" s="147">
        <v>401</v>
      </c>
      <c r="E14" s="147">
        <v>482</v>
      </c>
      <c r="F14" s="147">
        <v>557</v>
      </c>
      <c r="G14" s="152">
        <v>621</v>
      </c>
      <c r="H14" s="151">
        <v>562</v>
      </c>
      <c r="I14" s="147">
        <v>602</v>
      </c>
      <c r="J14" s="147">
        <v>723</v>
      </c>
      <c r="K14" s="147">
        <v>835</v>
      </c>
      <c r="L14" s="147">
        <v>932</v>
      </c>
      <c r="M14" s="151">
        <v>750</v>
      </c>
      <c r="N14" s="147">
        <v>803</v>
      </c>
      <c r="O14" s="147">
        <v>964</v>
      </c>
      <c r="P14" s="147">
        <v>1114</v>
      </c>
      <c r="Q14" s="152">
        <v>1243</v>
      </c>
      <c r="R14" s="151">
        <v>937</v>
      </c>
      <c r="S14" s="147">
        <v>1004</v>
      </c>
      <c r="T14" s="147">
        <v>1205</v>
      </c>
      <c r="U14" s="147">
        <v>1392</v>
      </c>
      <c r="V14" s="147">
        <v>1553</v>
      </c>
      <c r="W14" s="151">
        <v>1125</v>
      </c>
      <c r="X14" s="147">
        <v>1205</v>
      </c>
      <c r="Y14" s="147">
        <v>1446</v>
      </c>
      <c r="Z14" s="147">
        <v>1671</v>
      </c>
      <c r="AA14" s="152">
        <v>1864</v>
      </c>
      <c r="AB14" s="151">
        <v>1312</v>
      </c>
      <c r="AC14" s="147">
        <v>1406</v>
      </c>
      <c r="AD14" s="147">
        <v>1687</v>
      </c>
      <c r="AE14" s="147">
        <v>1949</v>
      </c>
      <c r="AF14" s="152">
        <v>2175</v>
      </c>
      <c r="AG14" s="151">
        <v>1500</v>
      </c>
      <c r="AH14" s="147">
        <v>1607</v>
      </c>
      <c r="AI14" s="147">
        <v>1928</v>
      </c>
      <c r="AJ14" s="147">
        <v>2228</v>
      </c>
      <c r="AK14" s="152">
        <v>2486</v>
      </c>
      <c r="AM14" s="151">
        <v>563</v>
      </c>
      <c r="AN14" s="147">
        <v>603</v>
      </c>
      <c r="AO14" s="147">
        <v>723</v>
      </c>
      <c r="AP14" s="147">
        <v>896</v>
      </c>
      <c r="AQ14" s="152">
        <v>1109</v>
      </c>
      <c r="AS14" s="151">
        <v>562</v>
      </c>
      <c r="AT14" s="147">
        <v>602</v>
      </c>
      <c r="AU14" s="147">
        <v>723</v>
      </c>
      <c r="AV14" s="147">
        <v>896</v>
      </c>
      <c r="AW14" s="152">
        <v>1109</v>
      </c>
      <c r="AX14" s="151">
        <v>937</v>
      </c>
      <c r="AY14" s="147">
        <v>1004</v>
      </c>
      <c r="AZ14" s="147">
        <v>1205</v>
      </c>
      <c r="BA14" s="147">
        <v>1392</v>
      </c>
      <c r="BB14" s="152">
        <v>1553</v>
      </c>
      <c r="BC14" s="151">
        <v>1500</v>
      </c>
      <c r="BD14" s="147">
        <v>1607</v>
      </c>
      <c r="BE14" s="147">
        <v>1928</v>
      </c>
      <c r="BF14" s="147">
        <v>2228</v>
      </c>
      <c r="BG14" s="152">
        <v>2486</v>
      </c>
      <c r="BI14" s="151">
        <v>725</v>
      </c>
      <c r="BJ14" s="147">
        <v>730</v>
      </c>
      <c r="BK14" s="147">
        <v>873</v>
      </c>
      <c r="BL14" s="147">
        <v>1214</v>
      </c>
      <c r="BM14" s="152">
        <v>1464</v>
      </c>
      <c r="BO14" s="150" t="s">
        <v>91</v>
      </c>
      <c r="BP14" s="151">
        <v>725</v>
      </c>
      <c r="BQ14" s="147">
        <v>730</v>
      </c>
      <c r="BR14" s="147">
        <v>873</v>
      </c>
      <c r="BS14" s="147">
        <v>1214</v>
      </c>
      <c r="BT14" s="152">
        <v>1464</v>
      </c>
      <c r="BV14" s="150" t="s">
        <v>91</v>
      </c>
      <c r="BW14" s="151">
        <v>725</v>
      </c>
      <c r="BX14" s="147">
        <v>730</v>
      </c>
      <c r="BY14" s="147">
        <v>873</v>
      </c>
      <c r="BZ14" s="147">
        <v>1214</v>
      </c>
      <c r="CA14" s="152">
        <v>1464</v>
      </c>
    </row>
    <row r="15" spans="1:79" s="157" customFormat="1" x14ac:dyDescent="0.25">
      <c r="A15" s="153" t="s">
        <v>92</v>
      </c>
      <c r="B15" s="497">
        <v>54900</v>
      </c>
      <c r="C15" s="154">
        <v>425</v>
      </c>
      <c r="D15" s="155">
        <v>455</v>
      </c>
      <c r="E15" s="155">
        <v>546</v>
      </c>
      <c r="F15" s="155">
        <v>631</v>
      </c>
      <c r="G15" s="156">
        <v>704</v>
      </c>
      <c r="H15" s="154">
        <v>637</v>
      </c>
      <c r="I15" s="155">
        <v>683</v>
      </c>
      <c r="J15" s="155">
        <v>819</v>
      </c>
      <c r="K15" s="155">
        <v>947</v>
      </c>
      <c r="L15" s="155">
        <v>1056</v>
      </c>
      <c r="M15" s="154">
        <v>850</v>
      </c>
      <c r="N15" s="155">
        <v>911</v>
      </c>
      <c r="O15" s="155">
        <v>1093</v>
      </c>
      <c r="P15" s="155">
        <v>1263</v>
      </c>
      <c r="Q15" s="156">
        <v>1409</v>
      </c>
      <c r="R15" s="154">
        <v>1062</v>
      </c>
      <c r="S15" s="155">
        <v>1138</v>
      </c>
      <c r="T15" s="155">
        <v>1366</v>
      </c>
      <c r="U15" s="155">
        <v>1578</v>
      </c>
      <c r="V15" s="155">
        <v>1761</v>
      </c>
      <c r="W15" s="154">
        <v>1275</v>
      </c>
      <c r="X15" s="155">
        <v>1366</v>
      </c>
      <c r="Y15" s="155">
        <v>1639</v>
      </c>
      <c r="Z15" s="155">
        <v>1894</v>
      </c>
      <c r="AA15" s="156">
        <v>2113</v>
      </c>
      <c r="AB15" s="154">
        <v>1487</v>
      </c>
      <c r="AC15" s="155">
        <v>1594</v>
      </c>
      <c r="AD15" s="155">
        <v>1912</v>
      </c>
      <c r="AE15" s="155">
        <v>2210</v>
      </c>
      <c r="AF15" s="156">
        <v>2465</v>
      </c>
      <c r="AG15" s="154">
        <v>1700</v>
      </c>
      <c r="AH15" s="155">
        <v>1822</v>
      </c>
      <c r="AI15" s="155">
        <v>2186</v>
      </c>
      <c r="AJ15" s="155">
        <v>2526</v>
      </c>
      <c r="AK15" s="156">
        <v>2818</v>
      </c>
      <c r="AL15"/>
      <c r="AM15" s="154">
        <v>637</v>
      </c>
      <c r="AN15" s="155">
        <v>683</v>
      </c>
      <c r="AO15" s="155">
        <v>820</v>
      </c>
      <c r="AP15" s="155">
        <v>946</v>
      </c>
      <c r="AQ15" s="156">
        <v>1109</v>
      </c>
      <c r="AR15"/>
      <c r="AS15" s="154">
        <v>637</v>
      </c>
      <c r="AT15" s="155">
        <v>683</v>
      </c>
      <c r="AU15" s="155">
        <v>819</v>
      </c>
      <c r="AV15" s="155">
        <v>947</v>
      </c>
      <c r="AW15" s="156">
        <v>1109</v>
      </c>
      <c r="AX15" s="154">
        <v>1062</v>
      </c>
      <c r="AY15" s="155">
        <v>1138</v>
      </c>
      <c r="AZ15" s="155">
        <v>1366</v>
      </c>
      <c r="BA15" s="155">
        <v>1578</v>
      </c>
      <c r="BB15" s="156">
        <v>1761</v>
      </c>
      <c r="BC15" s="154">
        <v>1700</v>
      </c>
      <c r="BD15" s="155">
        <v>1822</v>
      </c>
      <c r="BE15" s="155">
        <v>2186</v>
      </c>
      <c r="BF15" s="155">
        <v>2526</v>
      </c>
      <c r="BG15" s="156">
        <v>2818</v>
      </c>
      <c r="BH15"/>
      <c r="BI15" s="154">
        <v>1225</v>
      </c>
      <c r="BJ15" s="155">
        <v>1233</v>
      </c>
      <c r="BK15" s="155">
        <v>1534</v>
      </c>
      <c r="BL15" s="155">
        <v>1839</v>
      </c>
      <c r="BM15" s="156">
        <v>2573</v>
      </c>
      <c r="BN15"/>
      <c r="BO15" s="153" t="s">
        <v>92</v>
      </c>
      <c r="BP15" s="154">
        <v>1062</v>
      </c>
      <c r="BQ15" s="155">
        <v>1138</v>
      </c>
      <c r="BR15" s="155">
        <v>1366</v>
      </c>
      <c r="BS15" s="155">
        <v>1578</v>
      </c>
      <c r="BT15" s="156">
        <v>1761</v>
      </c>
      <c r="BU15"/>
      <c r="BV15" s="153" t="s">
        <v>92</v>
      </c>
      <c r="BW15" s="154">
        <v>1225</v>
      </c>
      <c r="BX15" s="155">
        <v>1233</v>
      </c>
      <c r="BY15" s="155">
        <v>1534</v>
      </c>
      <c r="BZ15" s="155">
        <v>1839</v>
      </c>
      <c r="CA15" s="156">
        <v>2231</v>
      </c>
    </row>
    <row r="16" spans="1:79" x14ac:dyDescent="0.25">
      <c r="A16" s="150" t="s">
        <v>93</v>
      </c>
      <c r="B16" s="496">
        <v>62850</v>
      </c>
      <c r="C16" s="151">
        <v>458</v>
      </c>
      <c r="D16" s="147">
        <v>490</v>
      </c>
      <c r="E16" s="147">
        <v>589</v>
      </c>
      <c r="F16" s="147">
        <v>680</v>
      </c>
      <c r="G16" s="152">
        <v>759</v>
      </c>
      <c r="H16" s="151">
        <v>687</v>
      </c>
      <c r="I16" s="147">
        <v>736</v>
      </c>
      <c r="J16" s="147">
        <v>883</v>
      </c>
      <c r="K16" s="147">
        <v>1020</v>
      </c>
      <c r="L16" s="147">
        <v>1138</v>
      </c>
      <c r="M16" s="151">
        <v>916</v>
      </c>
      <c r="N16" s="147">
        <v>981</v>
      </c>
      <c r="O16" s="147">
        <v>1178</v>
      </c>
      <c r="P16" s="147">
        <v>1360</v>
      </c>
      <c r="Q16" s="152">
        <v>1518</v>
      </c>
      <c r="R16" s="151">
        <v>1145</v>
      </c>
      <c r="S16" s="147">
        <v>1226</v>
      </c>
      <c r="T16" s="147">
        <v>1472</v>
      </c>
      <c r="U16" s="147">
        <v>1700</v>
      </c>
      <c r="V16" s="147">
        <v>1897</v>
      </c>
      <c r="W16" s="151">
        <v>1374</v>
      </c>
      <c r="X16" s="147">
        <v>1472</v>
      </c>
      <c r="Y16" s="147">
        <v>1767</v>
      </c>
      <c r="Z16" s="147">
        <v>2040</v>
      </c>
      <c r="AA16" s="152">
        <v>2277</v>
      </c>
      <c r="AB16" s="151">
        <v>1603</v>
      </c>
      <c r="AC16" s="147">
        <v>1717</v>
      </c>
      <c r="AD16" s="147">
        <v>2061</v>
      </c>
      <c r="AE16" s="147">
        <v>2380</v>
      </c>
      <c r="AF16" s="152">
        <v>2656</v>
      </c>
      <c r="AG16" s="151">
        <v>1832</v>
      </c>
      <c r="AH16" s="147">
        <v>1963</v>
      </c>
      <c r="AI16" s="147">
        <v>2356</v>
      </c>
      <c r="AJ16" s="147">
        <v>2721</v>
      </c>
      <c r="AK16" s="152">
        <v>3036</v>
      </c>
      <c r="AM16" s="151">
        <v>687</v>
      </c>
      <c r="AN16" s="147">
        <v>736</v>
      </c>
      <c r="AO16" s="147">
        <v>883</v>
      </c>
      <c r="AP16" s="147">
        <v>1020</v>
      </c>
      <c r="AQ16" s="152">
        <v>1138</v>
      </c>
      <c r="AS16" s="151">
        <v>687</v>
      </c>
      <c r="AT16" s="147">
        <v>736</v>
      </c>
      <c r="AU16" s="147">
        <v>883</v>
      </c>
      <c r="AV16" s="147">
        <v>1020</v>
      </c>
      <c r="AW16" s="152">
        <v>1138</v>
      </c>
      <c r="AX16" s="151">
        <v>1145</v>
      </c>
      <c r="AY16" s="147">
        <v>1226</v>
      </c>
      <c r="AZ16" s="147">
        <v>1472</v>
      </c>
      <c r="BA16" s="147">
        <v>1700</v>
      </c>
      <c r="BB16" s="152">
        <v>1897</v>
      </c>
      <c r="BC16" s="151">
        <v>1832</v>
      </c>
      <c r="BD16" s="147">
        <v>1963</v>
      </c>
      <c r="BE16" s="147">
        <v>2356</v>
      </c>
      <c r="BF16" s="147">
        <v>2721</v>
      </c>
      <c r="BG16" s="152">
        <v>3036</v>
      </c>
      <c r="BI16" s="151">
        <v>749</v>
      </c>
      <c r="BJ16" s="147">
        <v>754</v>
      </c>
      <c r="BK16" s="147">
        <v>938</v>
      </c>
      <c r="BL16" s="147">
        <v>1125</v>
      </c>
      <c r="BM16" s="152">
        <v>1574</v>
      </c>
      <c r="BO16" s="150" t="s">
        <v>93</v>
      </c>
      <c r="BP16" s="151">
        <v>749</v>
      </c>
      <c r="BQ16" s="147">
        <v>754</v>
      </c>
      <c r="BR16" s="147">
        <v>938</v>
      </c>
      <c r="BS16" s="147">
        <v>1125</v>
      </c>
      <c r="BT16" s="152">
        <v>1574</v>
      </c>
      <c r="BV16" s="150" t="s">
        <v>93</v>
      </c>
      <c r="BW16" s="151">
        <v>749</v>
      </c>
      <c r="BX16" s="147">
        <v>754</v>
      </c>
      <c r="BY16" s="147">
        <v>938</v>
      </c>
      <c r="BZ16" s="147">
        <v>1125</v>
      </c>
      <c r="CA16" s="152">
        <v>1574</v>
      </c>
    </row>
    <row r="17" spans="1:79" s="157" customFormat="1" x14ac:dyDescent="0.25">
      <c r="A17" s="153" t="s">
        <v>94</v>
      </c>
      <c r="B17" s="497">
        <v>50750</v>
      </c>
      <c r="C17" s="154">
        <v>375</v>
      </c>
      <c r="D17" s="155">
        <v>401</v>
      </c>
      <c r="E17" s="155">
        <v>482</v>
      </c>
      <c r="F17" s="155">
        <v>557</v>
      </c>
      <c r="G17" s="156">
        <v>621</v>
      </c>
      <c r="H17" s="154">
        <v>562</v>
      </c>
      <c r="I17" s="155">
        <v>602</v>
      </c>
      <c r="J17" s="155">
        <v>723</v>
      </c>
      <c r="K17" s="155">
        <v>835</v>
      </c>
      <c r="L17" s="155">
        <v>932</v>
      </c>
      <c r="M17" s="154">
        <v>750</v>
      </c>
      <c r="N17" s="155">
        <v>803</v>
      </c>
      <c r="O17" s="155">
        <v>964</v>
      </c>
      <c r="P17" s="155">
        <v>1114</v>
      </c>
      <c r="Q17" s="156">
        <v>1243</v>
      </c>
      <c r="R17" s="154">
        <v>937</v>
      </c>
      <c r="S17" s="155">
        <v>1004</v>
      </c>
      <c r="T17" s="155">
        <v>1205</v>
      </c>
      <c r="U17" s="155">
        <v>1392</v>
      </c>
      <c r="V17" s="155">
        <v>1553</v>
      </c>
      <c r="W17" s="154">
        <v>1125</v>
      </c>
      <c r="X17" s="155">
        <v>1205</v>
      </c>
      <c r="Y17" s="155">
        <v>1446</v>
      </c>
      <c r="Z17" s="155">
        <v>1671</v>
      </c>
      <c r="AA17" s="156">
        <v>1864</v>
      </c>
      <c r="AB17" s="154">
        <v>1312</v>
      </c>
      <c r="AC17" s="155">
        <v>1406</v>
      </c>
      <c r="AD17" s="155">
        <v>1687</v>
      </c>
      <c r="AE17" s="155">
        <v>1949</v>
      </c>
      <c r="AF17" s="156">
        <v>2175</v>
      </c>
      <c r="AG17" s="154">
        <v>1500</v>
      </c>
      <c r="AH17" s="155">
        <v>1607</v>
      </c>
      <c r="AI17" s="155">
        <v>1928</v>
      </c>
      <c r="AJ17" s="155">
        <v>2228</v>
      </c>
      <c r="AK17" s="156">
        <v>2486</v>
      </c>
      <c r="AL17"/>
      <c r="AM17" s="154">
        <v>563</v>
      </c>
      <c r="AN17" s="155">
        <v>603</v>
      </c>
      <c r="AO17" s="155">
        <v>723</v>
      </c>
      <c r="AP17" s="155">
        <v>896</v>
      </c>
      <c r="AQ17" s="156">
        <v>1109</v>
      </c>
      <c r="AR17"/>
      <c r="AS17" s="154">
        <v>562</v>
      </c>
      <c r="AT17" s="155">
        <v>602</v>
      </c>
      <c r="AU17" s="155">
        <v>723</v>
      </c>
      <c r="AV17" s="155">
        <v>896</v>
      </c>
      <c r="AW17" s="156">
        <v>1109</v>
      </c>
      <c r="AX17" s="154">
        <v>937</v>
      </c>
      <c r="AY17" s="155">
        <v>1004</v>
      </c>
      <c r="AZ17" s="155">
        <v>1205</v>
      </c>
      <c r="BA17" s="155">
        <v>1392</v>
      </c>
      <c r="BB17" s="156">
        <v>1553</v>
      </c>
      <c r="BC17" s="154">
        <v>1500</v>
      </c>
      <c r="BD17" s="155">
        <v>1607</v>
      </c>
      <c r="BE17" s="155">
        <v>1928</v>
      </c>
      <c r="BF17" s="155">
        <v>2228</v>
      </c>
      <c r="BG17" s="156">
        <v>2486</v>
      </c>
      <c r="BH17"/>
      <c r="BI17" s="154">
        <v>661</v>
      </c>
      <c r="BJ17" s="155">
        <v>665</v>
      </c>
      <c r="BK17" s="155">
        <v>873</v>
      </c>
      <c r="BL17" s="155">
        <v>1214</v>
      </c>
      <c r="BM17" s="156">
        <v>1464</v>
      </c>
      <c r="BN17"/>
      <c r="BO17" s="153" t="s">
        <v>94</v>
      </c>
      <c r="BP17" s="154">
        <v>661</v>
      </c>
      <c r="BQ17" s="155">
        <v>665</v>
      </c>
      <c r="BR17" s="155">
        <v>873</v>
      </c>
      <c r="BS17" s="155">
        <v>1214</v>
      </c>
      <c r="BT17" s="156">
        <v>1464</v>
      </c>
      <c r="BU17"/>
      <c r="BV17" s="153" t="s">
        <v>94</v>
      </c>
      <c r="BW17" s="154">
        <v>661</v>
      </c>
      <c r="BX17" s="155">
        <v>665</v>
      </c>
      <c r="BY17" s="155">
        <v>873</v>
      </c>
      <c r="BZ17" s="155">
        <v>1214</v>
      </c>
      <c r="CA17" s="156">
        <v>1464</v>
      </c>
    </row>
    <row r="18" spans="1:79" x14ac:dyDescent="0.25">
      <c r="A18" s="150" t="s">
        <v>95</v>
      </c>
      <c r="B18" s="496">
        <v>50750</v>
      </c>
      <c r="C18" s="151">
        <v>375</v>
      </c>
      <c r="D18" s="147">
        <v>401</v>
      </c>
      <c r="E18" s="147">
        <v>482</v>
      </c>
      <c r="F18" s="147">
        <v>557</v>
      </c>
      <c r="G18" s="152">
        <v>621</v>
      </c>
      <c r="H18" s="151">
        <v>562</v>
      </c>
      <c r="I18" s="147">
        <v>602</v>
      </c>
      <c r="J18" s="147">
        <v>723</v>
      </c>
      <c r="K18" s="147">
        <v>835</v>
      </c>
      <c r="L18" s="147">
        <v>932</v>
      </c>
      <c r="M18" s="151">
        <v>750</v>
      </c>
      <c r="N18" s="147">
        <v>803</v>
      </c>
      <c r="O18" s="147">
        <v>964</v>
      </c>
      <c r="P18" s="147">
        <v>1114</v>
      </c>
      <c r="Q18" s="152">
        <v>1243</v>
      </c>
      <c r="R18" s="151">
        <v>937</v>
      </c>
      <c r="S18" s="147">
        <v>1004</v>
      </c>
      <c r="T18" s="147">
        <v>1205</v>
      </c>
      <c r="U18" s="147">
        <v>1392</v>
      </c>
      <c r="V18" s="147">
        <v>1553</v>
      </c>
      <c r="W18" s="151">
        <v>1125</v>
      </c>
      <c r="X18" s="147">
        <v>1205</v>
      </c>
      <c r="Y18" s="147">
        <v>1446</v>
      </c>
      <c r="Z18" s="147">
        <v>1671</v>
      </c>
      <c r="AA18" s="152">
        <v>1864</v>
      </c>
      <c r="AB18" s="151">
        <v>1312</v>
      </c>
      <c r="AC18" s="147">
        <v>1406</v>
      </c>
      <c r="AD18" s="147">
        <v>1687</v>
      </c>
      <c r="AE18" s="147">
        <v>1949</v>
      </c>
      <c r="AF18" s="152">
        <v>2175</v>
      </c>
      <c r="AG18" s="151">
        <v>1500</v>
      </c>
      <c r="AH18" s="147">
        <v>1607</v>
      </c>
      <c r="AI18" s="147">
        <v>1928</v>
      </c>
      <c r="AJ18" s="147">
        <v>2228</v>
      </c>
      <c r="AK18" s="152">
        <v>2486</v>
      </c>
      <c r="AM18" s="151">
        <v>563</v>
      </c>
      <c r="AN18" s="147">
        <v>603</v>
      </c>
      <c r="AO18" s="147">
        <v>723</v>
      </c>
      <c r="AP18" s="147">
        <v>896</v>
      </c>
      <c r="AQ18" s="152">
        <v>1109</v>
      </c>
      <c r="AS18" s="151">
        <v>562</v>
      </c>
      <c r="AT18" s="147">
        <v>602</v>
      </c>
      <c r="AU18" s="147">
        <v>723</v>
      </c>
      <c r="AV18" s="147">
        <v>896</v>
      </c>
      <c r="AW18" s="152">
        <v>1109</v>
      </c>
      <c r="AX18" s="151">
        <v>937</v>
      </c>
      <c r="AY18" s="147">
        <v>1004</v>
      </c>
      <c r="AZ18" s="147">
        <v>1205</v>
      </c>
      <c r="BA18" s="147">
        <v>1392</v>
      </c>
      <c r="BB18" s="152">
        <v>1553</v>
      </c>
      <c r="BC18" s="151">
        <v>1500</v>
      </c>
      <c r="BD18" s="147">
        <v>1607</v>
      </c>
      <c r="BE18" s="147">
        <v>1928</v>
      </c>
      <c r="BF18" s="147">
        <v>2228</v>
      </c>
      <c r="BG18" s="152">
        <v>2486</v>
      </c>
      <c r="BI18" s="151">
        <v>679</v>
      </c>
      <c r="BJ18" s="147">
        <v>683</v>
      </c>
      <c r="BK18" s="147">
        <v>873</v>
      </c>
      <c r="BL18" s="147">
        <v>1047</v>
      </c>
      <c r="BM18" s="152">
        <v>1464</v>
      </c>
      <c r="BO18" s="150" t="s">
        <v>95</v>
      </c>
      <c r="BP18" s="151">
        <v>679</v>
      </c>
      <c r="BQ18" s="147">
        <v>683</v>
      </c>
      <c r="BR18" s="147">
        <v>873</v>
      </c>
      <c r="BS18" s="147">
        <v>1047</v>
      </c>
      <c r="BT18" s="152">
        <v>1464</v>
      </c>
      <c r="BV18" s="150" t="s">
        <v>95</v>
      </c>
      <c r="BW18" s="151">
        <v>679</v>
      </c>
      <c r="BX18" s="147">
        <v>683</v>
      </c>
      <c r="BY18" s="147">
        <v>873</v>
      </c>
      <c r="BZ18" s="147">
        <v>1047</v>
      </c>
      <c r="CA18" s="152">
        <v>1464</v>
      </c>
    </row>
    <row r="19" spans="1:79" s="157" customFormat="1" x14ac:dyDescent="0.25">
      <c r="A19" s="153" t="s">
        <v>96</v>
      </c>
      <c r="B19" s="497">
        <v>55750</v>
      </c>
      <c r="C19" s="154">
        <v>427</v>
      </c>
      <c r="D19" s="155">
        <v>457</v>
      </c>
      <c r="E19" s="155">
        <v>549</v>
      </c>
      <c r="F19" s="155">
        <v>634</v>
      </c>
      <c r="G19" s="156">
        <v>708</v>
      </c>
      <c r="H19" s="154">
        <v>640</v>
      </c>
      <c r="I19" s="155">
        <v>686</v>
      </c>
      <c r="J19" s="155">
        <v>823</v>
      </c>
      <c r="K19" s="155">
        <v>951</v>
      </c>
      <c r="L19" s="155">
        <v>1062</v>
      </c>
      <c r="M19" s="154">
        <v>854</v>
      </c>
      <c r="N19" s="155">
        <v>915</v>
      </c>
      <c r="O19" s="155">
        <v>1098</v>
      </c>
      <c r="P19" s="155">
        <v>1269</v>
      </c>
      <c r="Q19" s="156">
        <v>1416</v>
      </c>
      <c r="R19" s="154">
        <v>1067</v>
      </c>
      <c r="S19" s="155">
        <v>1143</v>
      </c>
      <c r="T19" s="155">
        <v>1372</v>
      </c>
      <c r="U19" s="155">
        <v>1586</v>
      </c>
      <c r="V19" s="155">
        <v>1770</v>
      </c>
      <c r="W19" s="154">
        <v>1281</v>
      </c>
      <c r="X19" s="155">
        <v>1372</v>
      </c>
      <c r="Y19" s="155">
        <v>1647</v>
      </c>
      <c r="Z19" s="155">
        <v>1903</v>
      </c>
      <c r="AA19" s="156">
        <v>2124</v>
      </c>
      <c r="AB19" s="154">
        <v>1494</v>
      </c>
      <c r="AC19" s="155">
        <v>1601</v>
      </c>
      <c r="AD19" s="155">
        <v>1921</v>
      </c>
      <c r="AE19" s="155">
        <v>2220</v>
      </c>
      <c r="AF19" s="156">
        <v>2478</v>
      </c>
      <c r="AG19" s="154">
        <v>1708</v>
      </c>
      <c r="AH19" s="155">
        <v>1830</v>
      </c>
      <c r="AI19" s="155">
        <v>2196</v>
      </c>
      <c r="AJ19" s="155">
        <v>2538</v>
      </c>
      <c r="AK19" s="156">
        <v>2832</v>
      </c>
      <c r="AL19"/>
      <c r="AM19" s="154">
        <v>641</v>
      </c>
      <c r="AN19" s="155">
        <v>686</v>
      </c>
      <c r="AO19" s="155">
        <v>823</v>
      </c>
      <c r="AP19" s="155">
        <v>951</v>
      </c>
      <c r="AQ19" s="156">
        <v>1109</v>
      </c>
      <c r="AR19"/>
      <c r="AS19" s="154">
        <v>640</v>
      </c>
      <c r="AT19" s="155">
        <v>686</v>
      </c>
      <c r="AU19" s="155">
        <v>823</v>
      </c>
      <c r="AV19" s="155">
        <v>951</v>
      </c>
      <c r="AW19" s="156">
        <v>1109</v>
      </c>
      <c r="AX19" s="154">
        <v>1067</v>
      </c>
      <c r="AY19" s="155">
        <v>1143</v>
      </c>
      <c r="AZ19" s="155">
        <v>1372</v>
      </c>
      <c r="BA19" s="155">
        <v>1586</v>
      </c>
      <c r="BB19" s="156">
        <v>1770</v>
      </c>
      <c r="BC19" s="154">
        <v>1708</v>
      </c>
      <c r="BD19" s="155">
        <v>1830</v>
      </c>
      <c r="BE19" s="155">
        <v>2196</v>
      </c>
      <c r="BF19" s="155">
        <v>2538</v>
      </c>
      <c r="BG19" s="156">
        <v>2832</v>
      </c>
      <c r="BH19"/>
      <c r="BI19" s="154">
        <v>727</v>
      </c>
      <c r="BJ19" s="155">
        <v>755</v>
      </c>
      <c r="BK19" s="155">
        <v>873</v>
      </c>
      <c r="BL19" s="155">
        <v>1214</v>
      </c>
      <c r="BM19" s="156">
        <v>1464</v>
      </c>
      <c r="BN19"/>
      <c r="BO19" s="153" t="s">
        <v>96</v>
      </c>
      <c r="BP19" s="154">
        <v>727</v>
      </c>
      <c r="BQ19" s="155">
        <v>755</v>
      </c>
      <c r="BR19" s="155">
        <v>873</v>
      </c>
      <c r="BS19" s="155">
        <v>1214</v>
      </c>
      <c r="BT19" s="156">
        <v>1464</v>
      </c>
      <c r="BU19"/>
      <c r="BV19" s="153" t="s">
        <v>96</v>
      </c>
      <c r="BW19" s="154">
        <v>727</v>
      </c>
      <c r="BX19" s="155">
        <v>755</v>
      </c>
      <c r="BY19" s="155">
        <v>873</v>
      </c>
      <c r="BZ19" s="155">
        <v>1214</v>
      </c>
      <c r="CA19" s="156">
        <v>1464</v>
      </c>
    </row>
    <row r="20" spans="1:79" x14ac:dyDescent="0.25">
      <c r="A20" s="150" t="s">
        <v>97</v>
      </c>
      <c r="B20" s="496">
        <v>52450</v>
      </c>
      <c r="C20" s="151">
        <v>375</v>
      </c>
      <c r="D20" s="147">
        <v>401</v>
      </c>
      <c r="E20" s="147">
        <v>482</v>
      </c>
      <c r="F20" s="147">
        <v>557</v>
      </c>
      <c r="G20" s="152">
        <v>621</v>
      </c>
      <c r="H20" s="151">
        <v>562</v>
      </c>
      <c r="I20" s="147">
        <v>602</v>
      </c>
      <c r="J20" s="147">
        <v>723</v>
      </c>
      <c r="K20" s="147">
        <v>835</v>
      </c>
      <c r="L20" s="147">
        <v>932</v>
      </c>
      <c r="M20" s="151">
        <v>750</v>
      </c>
      <c r="N20" s="147">
        <v>803</v>
      </c>
      <c r="O20" s="147">
        <v>964</v>
      </c>
      <c r="P20" s="147">
        <v>1114</v>
      </c>
      <c r="Q20" s="152">
        <v>1243</v>
      </c>
      <c r="R20" s="151">
        <v>937</v>
      </c>
      <c r="S20" s="147">
        <v>1004</v>
      </c>
      <c r="T20" s="147">
        <v>1205</v>
      </c>
      <c r="U20" s="147">
        <v>1392</v>
      </c>
      <c r="V20" s="147">
        <v>1553</v>
      </c>
      <c r="W20" s="151">
        <v>1125</v>
      </c>
      <c r="X20" s="147">
        <v>1205</v>
      </c>
      <c r="Y20" s="147">
        <v>1446</v>
      </c>
      <c r="Z20" s="147">
        <v>1671</v>
      </c>
      <c r="AA20" s="152">
        <v>1864</v>
      </c>
      <c r="AB20" s="151">
        <v>1312</v>
      </c>
      <c r="AC20" s="147">
        <v>1406</v>
      </c>
      <c r="AD20" s="147">
        <v>1687</v>
      </c>
      <c r="AE20" s="147">
        <v>1949</v>
      </c>
      <c r="AF20" s="152">
        <v>2175</v>
      </c>
      <c r="AG20" s="151">
        <v>1500</v>
      </c>
      <c r="AH20" s="147">
        <v>1607</v>
      </c>
      <c r="AI20" s="147">
        <v>1928</v>
      </c>
      <c r="AJ20" s="147">
        <v>2228</v>
      </c>
      <c r="AK20" s="152">
        <v>2486</v>
      </c>
      <c r="AM20" s="151">
        <v>563</v>
      </c>
      <c r="AN20" s="147">
        <v>603</v>
      </c>
      <c r="AO20" s="147">
        <v>723</v>
      </c>
      <c r="AP20" s="147">
        <v>896</v>
      </c>
      <c r="AQ20" s="152">
        <v>1109</v>
      </c>
      <c r="AS20" s="151">
        <v>562</v>
      </c>
      <c r="AT20" s="147">
        <v>602</v>
      </c>
      <c r="AU20" s="147">
        <v>723</v>
      </c>
      <c r="AV20" s="147">
        <v>896</v>
      </c>
      <c r="AW20" s="152">
        <v>1109</v>
      </c>
      <c r="AX20" s="151">
        <v>937</v>
      </c>
      <c r="AY20" s="147">
        <v>1004</v>
      </c>
      <c r="AZ20" s="147">
        <v>1205</v>
      </c>
      <c r="BA20" s="147">
        <v>1392</v>
      </c>
      <c r="BB20" s="152">
        <v>1553</v>
      </c>
      <c r="BC20" s="151">
        <v>1500</v>
      </c>
      <c r="BD20" s="147">
        <v>1607</v>
      </c>
      <c r="BE20" s="147">
        <v>1928</v>
      </c>
      <c r="BF20" s="147">
        <v>2228</v>
      </c>
      <c r="BG20" s="152">
        <v>2486</v>
      </c>
      <c r="BI20" s="151">
        <v>820</v>
      </c>
      <c r="BJ20" s="147">
        <v>826</v>
      </c>
      <c r="BK20" s="147">
        <v>1027</v>
      </c>
      <c r="BL20" s="147">
        <v>1428</v>
      </c>
      <c r="BM20" s="152">
        <v>1723</v>
      </c>
      <c r="BO20" s="150" t="s">
        <v>97</v>
      </c>
      <c r="BP20" s="151">
        <v>820</v>
      </c>
      <c r="BQ20" s="147">
        <v>826</v>
      </c>
      <c r="BR20" s="147">
        <v>1027</v>
      </c>
      <c r="BS20" s="147">
        <v>1408</v>
      </c>
      <c r="BT20" s="152">
        <v>1571</v>
      </c>
      <c r="BV20" s="150" t="s">
        <v>97</v>
      </c>
      <c r="BW20" s="151">
        <v>820</v>
      </c>
      <c r="BX20" s="147">
        <v>826</v>
      </c>
      <c r="BY20" s="147">
        <v>1027</v>
      </c>
      <c r="BZ20" s="147">
        <v>1428</v>
      </c>
      <c r="CA20" s="152">
        <v>1723</v>
      </c>
    </row>
    <row r="21" spans="1:79" s="157" customFormat="1" x14ac:dyDescent="0.25">
      <c r="A21" s="153" t="s">
        <v>98</v>
      </c>
      <c r="B21" s="497">
        <v>52150</v>
      </c>
      <c r="C21" s="154">
        <v>375</v>
      </c>
      <c r="D21" s="155">
        <v>401</v>
      </c>
      <c r="E21" s="155">
        <v>482</v>
      </c>
      <c r="F21" s="155">
        <v>557</v>
      </c>
      <c r="G21" s="156">
        <v>621</v>
      </c>
      <c r="H21" s="154">
        <v>562</v>
      </c>
      <c r="I21" s="155">
        <v>602</v>
      </c>
      <c r="J21" s="155">
        <v>723</v>
      </c>
      <c r="K21" s="155">
        <v>835</v>
      </c>
      <c r="L21" s="155">
        <v>932</v>
      </c>
      <c r="M21" s="154">
        <v>750</v>
      </c>
      <c r="N21" s="155">
        <v>803</v>
      </c>
      <c r="O21" s="155">
        <v>964</v>
      </c>
      <c r="P21" s="155">
        <v>1114</v>
      </c>
      <c r="Q21" s="156">
        <v>1243</v>
      </c>
      <c r="R21" s="154">
        <v>937</v>
      </c>
      <c r="S21" s="155">
        <v>1004</v>
      </c>
      <c r="T21" s="155">
        <v>1205</v>
      </c>
      <c r="U21" s="155">
        <v>1392</v>
      </c>
      <c r="V21" s="155">
        <v>1553</v>
      </c>
      <c r="W21" s="154">
        <v>1125</v>
      </c>
      <c r="X21" s="155">
        <v>1205</v>
      </c>
      <c r="Y21" s="155">
        <v>1446</v>
      </c>
      <c r="Z21" s="155">
        <v>1671</v>
      </c>
      <c r="AA21" s="156">
        <v>1864</v>
      </c>
      <c r="AB21" s="154">
        <v>1312</v>
      </c>
      <c r="AC21" s="155">
        <v>1406</v>
      </c>
      <c r="AD21" s="155">
        <v>1687</v>
      </c>
      <c r="AE21" s="155">
        <v>1949</v>
      </c>
      <c r="AF21" s="156">
        <v>2175</v>
      </c>
      <c r="AG21" s="154">
        <v>1500</v>
      </c>
      <c r="AH21" s="155">
        <v>1607</v>
      </c>
      <c r="AI21" s="155">
        <v>1928</v>
      </c>
      <c r="AJ21" s="155">
        <v>2228</v>
      </c>
      <c r="AK21" s="156">
        <v>2486</v>
      </c>
      <c r="AL21"/>
      <c r="AM21" s="154">
        <v>563</v>
      </c>
      <c r="AN21" s="155">
        <v>603</v>
      </c>
      <c r="AO21" s="155">
        <v>723</v>
      </c>
      <c r="AP21" s="155">
        <v>896</v>
      </c>
      <c r="AQ21" s="156">
        <v>1109</v>
      </c>
      <c r="AR21"/>
      <c r="AS21" s="154">
        <v>562</v>
      </c>
      <c r="AT21" s="155">
        <v>602</v>
      </c>
      <c r="AU21" s="155">
        <v>723</v>
      </c>
      <c r="AV21" s="155">
        <v>896</v>
      </c>
      <c r="AW21" s="156">
        <v>1109</v>
      </c>
      <c r="AX21" s="154">
        <v>937</v>
      </c>
      <c r="AY21" s="155">
        <v>1004</v>
      </c>
      <c r="AZ21" s="155">
        <v>1205</v>
      </c>
      <c r="BA21" s="155">
        <v>1392</v>
      </c>
      <c r="BB21" s="156">
        <v>1553</v>
      </c>
      <c r="BC21" s="154">
        <v>1500</v>
      </c>
      <c r="BD21" s="155">
        <v>1607</v>
      </c>
      <c r="BE21" s="155">
        <v>1928</v>
      </c>
      <c r="BF21" s="155">
        <v>2228</v>
      </c>
      <c r="BG21" s="156">
        <v>2486</v>
      </c>
      <c r="BH21"/>
      <c r="BI21" s="154">
        <v>863</v>
      </c>
      <c r="BJ21" s="155">
        <v>868</v>
      </c>
      <c r="BK21" s="155">
        <v>1089</v>
      </c>
      <c r="BL21" s="155">
        <v>1515</v>
      </c>
      <c r="BM21" s="156">
        <v>1827</v>
      </c>
      <c r="BN21"/>
      <c r="BO21" s="153" t="s">
        <v>98</v>
      </c>
      <c r="BP21" s="154">
        <v>863</v>
      </c>
      <c r="BQ21" s="155">
        <v>868</v>
      </c>
      <c r="BR21" s="155">
        <v>1089</v>
      </c>
      <c r="BS21" s="155">
        <v>1392</v>
      </c>
      <c r="BT21" s="156">
        <v>1553</v>
      </c>
      <c r="BU21"/>
      <c r="BV21" s="153" t="s">
        <v>98</v>
      </c>
      <c r="BW21" s="154">
        <v>863</v>
      </c>
      <c r="BX21" s="155">
        <v>868</v>
      </c>
      <c r="BY21" s="155">
        <v>1089</v>
      </c>
      <c r="BZ21" s="155">
        <v>1515</v>
      </c>
      <c r="CA21" s="156">
        <v>1827</v>
      </c>
    </row>
    <row r="22" spans="1:79" x14ac:dyDescent="0.25">
      <c r="A22" s="150" t="s">
        <v>99</v>
      </c>
      <c r="B22" s="496">
        <v>50750</v>
      </c>
      <c r="C22" s="151">
        <v>375</v>
      </c>
      <c r="D22" s="147">
        <v>401</v>
      </c>
      <c r="E22" s="147">
        <v>482</v>
      </c>
      <c r="F22" s="147">
        <v>557</v>
      </c>
      <c r="G22" s="152">
        <v>621</v>
      </c>
      <c r="H22" s="151">
        <v>562</v>
      </c>
      <c r="I22" s="147">
        <v>602</v>
      </c>
      <c r="J22" s="147">
        <v>723</v>
      </c>
      <c r="K22" s="147">
        <v>835</v>
      </c>
      <c r="L22" s="147">
        <v>932</v>
      </c>
      <c r="M22" s="151">
        <v>750</v>
      </c>
      <c r="N22" s="147">
        <v>803</v>
      </c>
      <c r="O22" s="147">
        <v>964</v>
      </c>
      <c r="P22" s="147">
        <v>1114</v>
      </c>
      <c r="Q22" s="152">
        <v>1243</v>
      </c>
      <c r="R22" s="151">
        <v>937</v>
      </c>
      <c r="S22" s="147">
        <v>1004</v>
      </c>
      <c r="T22" s="147">
        <v>1205</v>
      </c>
      <c r="U22" s="147">
        <v>1392</v>
      </c>
      <c r="V22" s="147">
        <v>1553</v>
      </c>
      <c r="W22" s="151">
        <v>1125</v>
      </c>
      <c r="X22" s="147">
        <v>1205</v>
      </c>
      <c r="Y22" s="147">
        <v>1446</v>
      </c>
      <c r="Z22" s="147">
        <v>1671</v>
      </c>
      <c r="AA22" s="152">
        <v>1864</v>
      </c>
      <c r="AB22" s="151">
        <v>1312</v>
      </c>
      <c r="AC22" s="147">
        <v>1406</v>
      </c>
      <c r="AD22" s="147">
        <v>1687</v>
      </c>
      <c r="AE22" s="147">
        <v>1949</v>
      </c>
      <c r="AF22" s="152">
        <v>2175</v>
      </c>
      <c r="AG22" s="151">
        <v>1500</v>
      </c>
      <c r="AH22" s="147">
        <v>1607</v>
      </c>
      <c r="AI22" s="147">
        <v>1928</v>
      </c>
      <c r="AJ22" s="147">
        <v>2228</v>
      </c>
      <c r="AK22" s="152">
        <v>2486</v>
      </c>
      <c r="AM22" s="151">
        <v>563</v>
      </c>
      <c r="AN22" s="147">
        <v>603</v>
      </c>
      <c r="AO22" s="147">
        <v>723</v>
      </c>
      <c r="AP22" s="147">
        <v>896</v>
      </c>
      <c r="AQ22" s="152">
        <v>1109</v>
      </c>
      <c r="AS22" s="151">
        <v>562</v>
      </c>
      <c r="AT22" s="147">
        <v>602</v>
      </c>
      <c r="AU22" s="147">
        <v>723</v>
      </c>
      <c r="AV22" s="147">
        <v>896</v>
      </c>
      <c r="AW22" s="152">
        <v>1109</v>
      </c>
      <c r="AX22" s="151">
        <v>937</v>
      </c>
      <c r="AY22" s="147">
        <v>1004</v>
      </c>
      <c r="AZ22" s="147">
        <v>1205</v>
      </c>
      <c r="BA22" s="147">
        <v>1392</v>
      </c>
      <c r="BB22" s="152">
        <v>1553</v>
      </c>
      <c r="BC22" s="151">
        <v>1500</v>
      </c>
      <c r="BD22" s="147">
        <v>1607</v>
      </c>
      <c r="BE22" s="147">
        <v>1928</v>
      </c>
      <c r="BF22" s="147">
        <v>2228</v>
      </c>
      <c r="BG22" s="152">
        <v>2486</v>
      </c>
      <c r="BI22" s="151">
        <v>678</v>
      </c>
      <c r="BJ22" s="147">
        <v>683</v>
      </c>
      <c r="BK22" s="147">
        <v>873</v>
      </c>
      <c r="BL22" s="147">
        <v>1214</v>
      </c>
      <c r="BM22" s="152">
        <v>1464</v>
      </c>
      <c r="BO22" s="150" t="s">
        <v>99</v>
      </c>
      <c r="BP22" s="151">
        <v>678</v>
      </c>
      <c r="BQ22" s="147">
        <v>683</v>
      </c>
      <c r="BR22" s="147">
        <v>873</v>
      </c>
      <c r="BS22" s="147">
        <v>1214</v>
      </c>
      <c r="BT22" s="152">
        <v>1464</v>
      </c>
      <c r="BV22" s="150" t="s">
        <v>99</v>
      </c>
      <c r="BW22" s="151">
        <v>678</v>
      </c>
      <c r="BX22" s="147">
        <v>683</v>
      </c>
      <c r="BY22" s="147">
        <v>873</v>
      </c>
      <c r="BZ22" s="147">
        <v>1214</v>
      </c>
      <c r="CA22" s="152">
        <v>1464</v>
      </c>
    </row>
    <row r="23" spans="1:79" s="157" customFormat="1" x14ac:dyDescent="0.25">
      <c r="A23" s="153" t="s">
        <v>100</v>
      </c>
      <c r="B23" s="497">
        <v>50750</v>
      </c>
      <c r="C23" s="154">
        <v>375</v>
      </c>
      <c r="D23" s="155">
        <v>401</v>
      </c>
      <c r="E23" s="155">
        <v>482</v>
      </c>
      <c r="F23" s="155">
        <v>557</v>
      </c>
      <c r="G23" s="156">
        <v>621</v>
      </c>
      <c r="H23" s="154">
        <v>562</v>
      </c>
      <c r="I23" s="155">
        <v>602</v>
      </c>
      <c r="J23" s="155">
        <v>723</v>
      </c>
      <c r="K23" s="155">
        <v>835</v>
      </c>
      <c r="L23" s="155">
        <v>932</v>
      </c>
      <c r="M23" s="154">
        <v>750</v>
      </c>
      <c r="N23" s="155">
        <v>803</v>
      </c>
      <c r="O23" s="155">
        <v>964</v>
      </c>
      <c r="P23" s="155">
        <v>1114</v>
      </c>
      <c r="Q23" s="156">
        <v>1243</v>
      </c>
      <c r="R23" s="154">
        <v>937</v>
      </c>
      <c r="S23" s="155">
        <v>1004</v>
      </c>
      <c r="T23" s="155">
        <v>1205</v>
      </c>
      <c r="U23" s="155">
        <v>1392</v>
      </c>
      <c r="V23" s="155">
        <v>1553</v>
      </c>
      <c r="W23" s="154">
        <v>1125</v>
      </c>
      <c r="X23" s="155">
        <v>1205</v>
      </c>
      <c r="Y23" s="155">
        <v>1446</v>
      </c>
      <c r="Z23" s="155">
        <v>1671</v>
      </c>
      <c r="AA23" s="156">
        <v>1864</v>
      </c>
      <c r="AB23" s="154">
        <v>1312</v>
      </c>
      <c r="AC23" s="155">
        <v>1406</v>
      </c>
      <c r="AD23" s="155">
        <v>1687</v>
      </c>
      <c r="AE23" s="155">
        <v>1949</v>
      </c>
      <c r="AF23" s="156">
        <v>2175</v>
      </c>
      <c r="AG23" s="154">
        <v>1500</v>
      </c>
      <c r="AH23" s="155">
        <v>1607</v>
      </c>
      <c r="AI23" s="155">
        <v>1928</v>
      </c>
      <c r="AJ23" s="155">
        <v>2228</v>
      </c>
      <c r="AK23" s="156">
        <v>2486</v>
      </c>
      <c r="AL23"/>
      <c r="AM23" s="154">
        <v>563</v>
      </c>
      <c r="AN23" s="155">
        <v>603</v>
      </c>
      <c r="AO23" s="155">
        <v>723</v>
      </c>
      <c r="AP23" s="155">
        <v>896</v>
      </c>
      <c r="AQ23" s="156">
        <v>1109</v>
      </c>
      <c r="AR23"/>
      <c r="AS23" s="154">
        <v>562</v>
      </c>
      <c r="AT23" s="155">
        <v>602</v>
      </c>
      <c r="AU23" s="155">
        <v>723</v>
      </c>
      <c r="AV23" s="155">
        <v>896</v>
      </c>
      <c r="AW23" s="156">
        <v>1109</v>
      </c>
      <c r="AX23" s="154">
        <v>937</v>
      </c>
      <c r="AY23" s="155">
        <v>1004</v>
      </c>
      <c r="AZ23" s="155">
        <v>1205</v>
      </c>
      <c r="BA23" s="155">
        <v>1392</v>
      </c>
      <c r="BB23" s="156">
        <v>1553</v>
      </c>
      <c r="BC23" s="154">
        <v>1500</v>
      </c>
      <c r="BD23" s="155">
        <v>1607</v>
      </c>
      <c r="BE23" s="155">
        <v>1928</v>
      </c>
      <c r="BF23" s="155">
        <v>2228</v>
      </c>
      <c r="BG23" s="156">
        <v>2486</v>
      </c>
      <c r="BH23"/>
      <c r="BI23" s="154">
        <v>661</v>
      </c>
      <c r="BJ23" s="155">
        <v>665</v>
      </c>
      <c r="BK23" s="155">
        <v>873</v>
      </c>
      <c r="BL23" s="155">
        <v>1076</v>
      </c>
      <c r="BM23" s="156">
        <v>1464</v>
      </c>
      <c r="BN23"/>
      <c r="BO23" s="153" t="s">
        <v>100</v>
      </c>
      <c r="BP23" s="154">
        <v>661</v>
      </c>
      <c r="BQ23" s="155">
        <v>665</v>
      </c>
      <c r="BR23" s="155">
        <v>873</v>
      </c>
      <c r="BS23" s="155">
        <v>1076</v>
      </c>
      <c r="BT23" s="156">
        <v>1464</v>
      </c>
      <c r="BU23"/>
      <c r="BV23" s="153" t="s">
        <v>100</v>
      </c>
      <c r="BW23" s="154">
        <v>661</v>
      </c>
      <c r="BX23" s="155">
        <v>665</v>
      </c>
      <c r="BY23" s="155">
        <v>873</v>
      </c>
      <c r="BZ23" s="155">
        <v>1076</v>
      </c>
      <c r="CA23" s="156">
        <v>1464</v>
      </c>
    </row>
    <row r="24" spans="1:79" x14ac:dyDescent="0.25">
      <c r="A24" s="150" t="s">
        <v>101</v>
      </c>
      <c r="B24" s="496">
        <v>50750</v>
      </c>
      <c r="C24" s="151">
        <v>383</v>
      </c>
      <c r="D24" s="147">
        <v>410</v>
      </c>
      <c r="E24" s="147">
        <v>492</v>
      </c>
      <c r="F24" s="147">
        <v>569</v>
      </c>
      <c r="G24" s="152">
        <v>634</v>
      </c>
      <c r="H24" s="151">
        <v>574</v>
      </c>
      <c r="I24" s="147">
        <v>615</v>
      </c>
      <c r="J24" s="147">
        <v>738</v>
      </c>
      <c r="K24" s="147">
        <v>853</v>
      </c>
      <c r="L24" s="147">
        <v>952</v>
      </c>
      <c r="M24" s="151">
        <v>766</v>
      </c>
      <c r="N24" s="147">
        <v>821</v>
      </c>
      <c r="O24" s="147">
        <v>985</v>
      </c>
      <c r="P24" s="147">
        <v>1138</v>
      </c>
      <c r="Q24" s="152">
        <v>1270</v>
      </c>
      <c r="R24" s="151">
        <v>957</v>
      </c>
      <c r="S24" s="147">
        <v>1026</v>
      </c>
      <c r="T24" s="147">
        <v>1231</v>
      </c>
      <c r="U24" s="147">
        <v>1422</v>
      </c>
      <c r="V24" s="147">
        <v>1587</v>
      </c>
      <c r="W24" s="151">
        <v>1149</v>
      </c>
      <c r="X24" s="147">
        <v>1231</v>
      </c>
      <c r="Y24" s="147">
        <v>1477</v>
      </c>
      <c r="Z24" s="147">
        <v>1707</v>
      </c>
      <c r="AA24" s="152">
        <v>1905</v>
      </c>
      <c r="AB24" s="151">
        <v>1340</v>
      </c>
      <c r="AC24" s="147">
        <v>1436</v>
      </c>
      <c r="AD24" s="147">
        <v>1723</v>
      </c>
      <c r="AE24" s="147">
        <v>1991</v>
      </c>
      <c r="AF24" s="152">
        <v>2222</v>
      </c>
      <c r="AG24" s="151">
        <v>1532</v>
      </c>
      <c r="AH24" s="147">
        <v>1642</v>
      </c>
      <c r="AI24" s="147">
        <v>1970</v>
      </c>
      <c r="AJ24" s="147">
        <v>2276</v>
      </c>
      <c r="AK24" s="152">
        <v>2540</v>
      </c>
      <c r="AM24" s="151">
        <v>575</v>
      </c>
      <c r="AN24" s="147">
        <v>615</v>
      </c>
      <c r="AO24" s="147">
        <v>738</v>
      </c>
      <c r="AP24" s="147">
        <v>896</v>
      </c>
      <c r="AQ24" s="152">
        <v>1109</v>
      </c>
      <c r="AS24" s="151">
        <v>574</v>
      </c>
      <c r="AT24" s="147">
        <v>615</v>
      </c>
      <c r="AU24" s="147">
        <v>738</v>
      </c>
      <c r="AV24" s="147">
        <v>896</v>
      </c>
      <c r="AW24" s="152">
        <v>1109</v>
      </c>
      <c r="AX24" s="151">
        <v>957</v>
      </c>
      <c r="AY24" s="147">
        <v>1026</v>
      </c>
      <c r="AZ24" s="147">
        <v>1231</v>
      </c>
      <c r="BA24" s="147">
        <v>1422</v>
      </c>
      <c r="BB24" s="152">
        <v>1587</v>
      </c>
      <c r="BC24" s="151">
        <v>1532</v>
      </c>
      <c r="BD24" s="147">
        <v>1642</v>
      </c>
      <c r="BE24" s="147">
        <v>1970</v>
      </c>
      <c r="BF24" s="147">
        <v>2276</v>
      </c>
      <c r="BG24" s="152">
        <v>2540</v>
      </c>
      <c r="BI24" s="151">
        <v>740</v>
      </c>
      <c r="BJ24" s="147">
        <v>745</v>
      </c>
      <c r="BK24" s="147">
        <v>927</v>
      </c>
      <c r="BL24" s="147">
        <v>1149</v>
      </c>
      <c r="BM24" s="152">
        <v>1555</v>
      </c>
      <c r="BO24" s="150" t="s">
        <v>101</v>
      </c>
      <c r="BP24" s="151">
        <v>740</v>
      </c>
      <c r="BQ24" s="147">
        <v>745</v>
      </c>
      <c r="BR24" s="147">
        <v>927</v>
      </c>
      <c r="BS24" s="147">
        <v>1149</v>
      </c>
      <c r="BT24" s="152">
        <v>1555</v>
      </c>
      <c r="BV24" s="150" t="s">
        <v>101</v>
      </c>
      <c r="BW24" s="151">
        <v>740</v>
      </c>
      <c r="BX24" s="147">
        <v>745</v>
      </c>
      <c r="BY24" s="147">
        <v>927</v>
      </c>
      <c r="BZ24" s="147">
        <v>1149</v>
      </c>
      <c r="CA24" s="152">
        <v>1555</v>
      </c>
    </row>
    <row r="25" spans="1:79" s="157" customFormat="1" x14ac:dyDescent="0.25">
      <c r="A25" s="153" t="s">
        <v>102</v>
      </c>
      <c r="B25" s="497">
        <v>50750</v>
      </c>
      <c r="C25" s="154">
        <v>375</v>
      </c>
      <c r="D25" s="155">
        <v>401</v>
      </c>
      <c r="E25" s="155">
        <v>482</v>
      </c>
      <c r="F25" s="155">
        <v>557</v>
      </c>
      <c r="G25" s="156">
        <v>621</v>
      </c>
      <c r="H25" s="154">
        <v>562</v>
      </c>
      <c r="I25" s="155">
        <v>602</v>
      </c>
      <c r="J25" s="155">
        <v>723</v>
      </c>
      <c r="K25" s="155">
        <v>835</v>
      </c>
      <c r="L25" s="155">
        <v>932</v>
      </c>
      <c r="M25" s="154">
        <v>750</v>
      </c>
      <c r="N25" s="155">
        <v>803</v>
      </c>
      <c r="O25" s="155">
        <v>964</v>
      </c>
      <c r="P25" s="155">
        <v>1114</v>
      </c>
      <c r="Q25" s="156">
        <v>1243</v>
      </c>
      <c r="R25" s="154">
        <v>937</v>
      </c>
      <c r="S25" s="155">
        <v>1004</v>
      </c>
      <c r="T25" s="155">
        <v>1205</v>
      </c>
      <c r="U25" s="155">
        <v>1392</v>
      </c>
      <c r="V25" s="155">
        <v>1553</v>
      </c>
      <c r="W25" s="154">
        <v>1125</v>
      </c>
      <c r="X25" s="155">
        <v>1205</v>
      </c>
      <c r="Y25" s="155">
        <v>1446</v>
      </c>
      <c r="Z25" s="155">
        <v>1671</v>
      </c>
      <c r="AA25" s="156">
        <v>1864</v>
      </c>
      <c r="AB25" s="154">
        <v>1312</v>
      </c>
      <c r="AC25" s="155">
        <v>1406</v>
      </c>
      <c r="AD25" s="155">
        <v>1687</v>
      </c>
      <c r="AE25" s="155">
        <v>1949</v>
      </c>
      <c r="AF25" s="156">
        <v>2175</v>
      </c>
      <c r="AG25" s="154">
        <v>1500</v>
      </c>
      <c r="AH25" s="155">
        <v>1607</v>
      </c>
      <c r="AI25" s="155">
        <v>1928</v>
      </c>
      <c r="AJ25" s="155">
        <v>2228</v>
      </c>
      <c r="AK25" s="156">
        <v>2486</v>
      </c>
      <c r="AL25"/>
      <c r="AM25" s="154">
        <v>563</v>
      </c>
      <c r="AN25" s="155">
        <v>603</v>
      </c>
      <c r="AO25" s="155">
        <v>723</v>
      </c>
      <c r="AP25" s="155">
        <v>896</v>
      </c>
      <c r="AQ25" s="156">
        <v>1109</v>
      </c>
      <c r="AR25"/>
      <c r="AS25" s="154">
        <v>562</v>
      </c>
      <c r="AT25" s="155">
        <v>602</v>
      </c>
      <c r="AU25" s="155">
        <v>723</v>
      </c>
      <c r="AV25" s="155">
        <v>896</v>
      </c>
      <c r="AW25" s="156">
        <v>1109</v>
      </c>
      <c r="AX25" s="154">
        <v>937</v>
      </c>
      <c r="AY25" s="155">
        <v>1004</v>
      </c>
      <c r="AZ25" s="155">
        <v>1205</v>
      </c>
      <c r="BA25" s="155">
        <v>1392</v>
      </c>
      <c r="BB25" s="156">
        <v>1553</v>
      </c>
      <c r="BC25" s="154">
        <v>1500</v>
      </c>
      <c r="BD25" s="155">
        <v>1607</v>
      </c>
      <c r="BE25" s="155">
        <v>1928</v>
      </c>
      <c r="BF25" s="155">
        <v>2228</v>
      </c>
      <c r="BG25" s="156">
        <v>2486</v>
      </c>
      <c r="BH25"/>
      <c r="BI25" s="154">
        <v>727</v>
      </c>
      <c r="BJ25" s="155">
        <v>729</v>
      </c>
      <c r="BK25" s="155">
        <v>873</v>
      </c>
      <c r="BL25" s="155">
        <v>1214</v>
      </c>
      <c r="BM25" s="156">
        <v>1403</v>
      </c>
      <c r="BN25"/>
      <c r="BO25" s="153" t="s">
        <v>102</v>
      </c>
      <c r="BP25" s="154">
        <v>727</v>
      </c>
      <c r="BQ25" s="155">
        <v>729</v>
      </c>
      <c r="BR25" s="155">
        <v>873</v>
      </c>
      <c r="BS25" s="155">
        <v>1214</v>
      </c>
      <c r="BT25" s="156">
        <v>1403</v>
      </c>
      <c r="BU25"/>
      <c r="BV25" s="153" t="s">
        <v>102</v>
      </c>
      <c r="BW25" s="154">
        <v>727</v>
      </c>
      <c r="BX25" s="155">
        <v>729</v>
      </c>
      <c r="BY25" s="155">
        <v>873</v>
      </c>
      <c r="BZ25" s="155">
        <v>1214</v>
      </c>
      <c r="CA25" s="156">
        <v>1403</v>
      </c>
    </row>
    <row r="26" spans="1:79" x14ac:dyDescent="0.25">
      <c r="A26" s="150" t="s">
        <v>103</v>
      </c>
      <c r="B26" s="496">
        <v>50750</v>
      </c>
      <c r="C26" s="151">
        <v>375</v>
      </c>
      <c r="D26" s="147">
        <v>401</v>
      </c>
      <c r="E26" s="147">
        <v>482</v>
      </c>
      <c r="F26" s="147">
        <v>557</v>
      </c>
      <c r="G26" s="152">
        <v>621</v>
      </c>
      <c r="H26" s="151">
        <v>562</v>
      </c>
      <c r="I26" s="147">
        <v>602</v>
      </c>
      <c r="J26" s="147">
        <v>723</v>
      </c>
      <c r="K26" s="147">
        <v>835</v>
      </c>
      <c r="L26" s="147">
        <v>932</v>
      </c>
      <c r="M26" s="151">
        <v>750</v>
      </c>
      <c r="N26" s="147">
        <v>803</v>
      </c>
      <c r="O26" s="147">
        <v>964</v>
      </c>
      <c r="P26" s="147">
        <v>1114</v>
      </c>
      <c r="Q26" s="152">
        <v>1243</v>
      </c>
      <c r="R26" s="151">
        <v>937</v>
      </c>
      <c r="S26" s="147">
        <v>1004</v>
      </c>
      <c r="T26" s="147">
        <v>1205</v>
      </c>
      <c r="U26" s="147">
        <v>1392</v>
      </c>
      <c r="V26" s="147">
        <v>1553</v>
      </c>
      <c r="W26" s="151">
        <v>1125</v>
      </c>
      <c r="X26" s="147">
        <v>1205</v>
      </c>
      <c r="Y26" s="147">
        <v>1446</v>
      </c>
      <c r="Z26" s="147">
        <v>1671</v>
      </c>
      <c r="AA26" s="152">
        <v>1864</v>
      </c>
      <c r="AB26" s="151">
        <v>1312</v>
      </c>
      <c r="AC26" s="147">
        <v>1406</v>
      </c>
      <c r="AD26" s="147">
        <v>1687</v>
      </c>
      <c r="AE26" s="147">
        <v>1949</v>
      </c>
      <c r="AF26" s="152">
        <v>2175</v>
      </c>
      <c r="AG26" s="151">
        <v>1500</v>
      </c>
      <c r="AH26" s="147">
        <v>1607</v>
      </c>
      <c r="AI26" s="147">
        <v>1928</v>
      </c>
      <c r="AJ26" s="147">
        <v>2228</v>
      </c>
      <c r="AK26" s="152">
        <v>2486</v>
      </c>
      <c r="AM26" s="151">
        <v>563</v>
      </c>
      <c r="AN26" s="147">
        <v>603</v>
      </c>
      <c r="AO26" s="147">
        <v>723</v>
      </c>
      <c r="AP26" s="147">
        <v>896</v>
      </c>
      <c r="AQ26" s="152">
        <v>1109</v>
      </c>
      <c r="AS26" s="151">
        <v>562</v>
      </c>
      <c r="AT26" s="147">
        <v>602</v>
      </c>
      <c r="AU26" s="147">
        <v>723</v>
      </c>
      <c r="AV26" s="147">
        <v>896</v>
      </c>
      <c r="AW26" s="152">
        <v>1109</v>
      </c>
      <c r="AX26" s="151">
        <v>937</v>
      </c>
      <c r="AY26" s="147">
        <v>1004</v>
      </c>
      <c r="AZ26" s="147">
        <v>1205</v>
      </c>
      <c r="BA26" s="147">
        <v>1392</v>
      </c>
      <c r="BB26" s="152">
        <v>1553</v>
      </c>
      <c r="BC26" s="151">
        <v>1500</v>
      </c>
      <c r="BD26" s="147">
        <v>1607</v>
      </c>
      <c r="BE26" s="147">
        <v>1928</v>
      </c>
      <c r="BF26" s="147">
        <v>2228</v>
      </c>
      <c r="BG26" s="152">
        <v>2486</v>
      </c>
      <c r="BI26" s="151">
        <v>700</v>
      </c>
      <c r="BJ26" s="147">
        <v>704</v>
      </c>
      <c r="BK26" s="147">
        <v>873</v>
      </c>
      <c r="BL26" s="147">
        <v>1214</v>
      </c>
      <c r="BM26" s="152">
        <v>1464</v>
      </c>
      <c r="BO26" s="150" t="s">
        <v>103</v>
      </c>
      <c r="BP26" s="151">
        <v>700</v>
      </c>
      <c r="BQ26" s="147">
        <v>704</v>
      </c>
      <c r="BR26" s="147">
        <v>873</v>
      </c>
      <c r="BS26" s="147">
        <v>1214</v>
      </c>
      <c r="BT26" s="152">
        <v>1464</v>
      </c>
      <c r="BV26" s="150" t="s">
        <v>103</v>
      </c>
      <c r="BW26" s="151">
        <v>700</v>
      </c>
      <c r="BX26" s="147">
        <v>704</v>
      </c>
      <c r="BY26" s="147">
        <v>873</v>
      </c>
      <c r="BZ26" s="147">
        <v>1214</v>
      </c>
      <c r="CA26" s="152">
        <v>1464</v>
      </c>
    </row>
    <row r="27" spans="1:79" s="157" customFormat="1" x14ac:dyDescent="0.25">
      <c r="A27" s="153" t="s">
        <v>104</v>
      </c>
      <c r="B27" s="497">
        <v>50750</v>
      </c>
      <c r="C27" s="154">
        <v>375</v>
      </c>
      <c r="D27" s="155">
        <v>401</v>
      </c>
      <c r="E27" s="155">
        <v>482</v>
      </c>
      <c r="F27" s="155">
        <v>557</v>
      </c>
      <c r="G27" s="156">
        <v>621</v>
      </c>
      <c r="H27" s="154">
        <v>562</v>
      </c>
      <c r="I27" s="155">
        <v>602</v>
      </c>
      <c r="J27" s="155">
        <v>723</v>
      </c>
      <c r="K27" s="155">
        <v>835</v>
      </c>
      <c r="L27" s="155">
        <v>932</v>
      </c>
      <c r="M27" s="154">
        <v>750</v>
      </c>
      <c r="N27" s="155">
        <v>803</v>
      </c>
      <c r="O27" s="155">
        <v>964</v>
      </c>
      <c r="P27" s="155">
        <v>1114</v>
      </c>
      <c r="Q27" s="156">
        <v>1243</v>
      </c>
      <c r="R27" s="154">
        <v>937</v>
      </c>
      <c r="S27" s="155">
        <v>1004</v>
      </c>
      <c r="T27" s="155">
        <v>1205</v>
      </c>
      <c r="U27" s="155">
        <v>1392</v>
      </c>
      <c r="V27" s="155">
        <v>1553</v>
      </c>
      <c r="W27" s="154">
        <v>1125</v>
      </c>
      <c r="X27" s="155">
        <v>1205</v>
      </c>
      <c r="Y27" s="155">
        <v>1446</v>
      </c>
      <c r="Z27" s="155">
        <v>1671</v>
      </c>
      <c r="AA27" s="156">
        <v>1864</v>
      </c>
      <c r="AB27" s="154">
        <v>1312</v>
      </c>
      <c r="AC27" s="155">
        <v>1406</v>
      </c>
      <c r="AD27" s="155">
        <v>1687</v>
      </c>
      <c r="AE27" s="155">
        <v>1949</v>
      </c>
      <c r="AF27" s="156">
        <v>2175</v>
      </c>
      <c r="AG27" s="154">
        <v>1500</v>
      </c>
      <c r="AH27" s="155">
        <v>1607</v>
      </c>
      <c r="AI27" s="155">
        <v>1928</v>
      </c>
      <c r="AJ27" s="155">
        <v>2228</v>
      </c>
      <c r="AK27" s="156">
        <v>2486</v>
      </c>
      <c r="AL27"/>
      <c r="AM27" s="154">
        <v>563</v>
      </c>
      <c r="AN27" s="155">
        <v>603</v>
      </c>
      <c r="AO27" s="155">
        <v>723</v>
      </c>
      <c r="AP27" s="155">
        <v>896</v>
      </c>
      <c r="AQ27" s="156">
        <v>1109</v>
      </c>
      <c r="AR27"/>
      <c r="AS27" s="154">
        <v>562</v>
      </c>
      <c r="AT27" s="155">
        <v>602</v>
      </c>
      <c r="AU27" s="155">
        <v>723</v>
      </c>
      <c r="AV27" s="155">
        <v>896</v>
      </c>
      <c r="AW27" s="156">
        <v>1109</v>
      </c>
      <c r="AX27" s="154">
        <v>937</v>
      </c>
      <c r="AY27" s="155">
        <v>1004</v>
      </c>
      <c r="AZ27" s="155">
        <v>1205</v>
      </c>
      <c r="BA27" s="155">
        <v>1392</v>
      </c>
      <c r="BB27" s="156">
        <v>1553</v>
      </c>
      <c r="BC27" s="154">
        <v>1500</v>
      </c>
      <c r="BD27" s="155">
        <v>1607</v>
      </c>
      <c r="BE27" s="155">
        <v>1928</v>
      </c>
      <c r="BF27" s="155">
        <v>2228</v>
      </c>
      <c r="BG27" s="156">
        <v>2486</v>
      </c>
      <c r="BH27"/>
      <c r="BI27" s="154">
        <v>810</v>
      </c>
      <c r="BJ27" s="155">
        <v>815</v>
      </c>
      <c r="BK27" s="155">
        <v>1014</v>
      </c>
      <c r="BL27" s="155">
        <v>1410</v>
      </c>
      <c r="BM27" s="156">
        <v>1701</v>
      </c>
      <c r="BN27"/>
      <c r="BO27" s="153" t="s">
        <v>104</v>
      </c>
      <c r="BP27" s="154">
        <v>810</v>
      </c>
      <c r="BQ27" s="155">
        <v>815</v>
      </c>
      <c r="BR27" s="155">
        <v>1014</v>
      </c>
      <c r="BS27" s="155">
        <v>1392</v>
      </c>
      <c r="BT27" s="156">
        <v>1553</v>
      </c>
      <c r="BU27"/>
      <c r="BV27" s="153" t="s">
        <v>104</v>
      </c>
      <c r="BW27" s="154">
        <v>810</v>
      </c>
      <c r="BX27" s="155">
        <v>815</v>
      </c>
      <c r="BY27" s="155">
        <v>1014</v>
      </c>
      <c r="BZ27" s="155">
        <v>1410</v>
      </c>
      <c r="CA27" s="156">
        <v>1701</v>
      </c>
    </row>
    <row r="28" spans="1:79" x14ac:dyDescent="0.25">
      <c r="A28" s="150" t="s">
        <v>105</v>
      </c>
      <c r="B28" s="496">
        <v>50750</v>
      </c>
      <c r="C28" s="151">
        <v>375</v>
      </c>
      <c r="D28" s="147">
        <v>401</v>
      </c>
      <c r="E28" s="147">
        <v>482</v>
      </c>
      <c r="F28" s="147">
        <v>557</v>
      </c>
      <c r="G28" s="152">
        <v>621</v>
      </c>
      <c r="H28" s="151">
        <v>562</v>
      </c>
      <c r="I28" s="147">
        <v>602</v>
      </c>
      <c r="J28" s="147">
        <v>723</v>
      </c>
      <c r="K28" s="147">
        <v>835</v>
      </c>
      <c r="L28" s="147">
        <v>932</v>
      </c>
      <c r="M28" s="151">
        <v>750</v>
      </c>
      <c r="N28" s="147">
        <v>803</v>
      </c>
      <c r="O28" s="147">
        <v>964</v>
      </c>
      <c r="P28" s="147">
        <v>1114</v>
      </c>
      <c r="Q28" s="152">
        <v>1243</v>
      </c>
      <c r="R28" s="151">
        <v>937</v>
      </c>
      <c r="S28" s="147">
        <v>1004</v>
      </c>
      <c r="T28" s="147">
        <v>1205</v>
      </c>
      <c r="U28" s="147">
        <v>1392</v>
      </c>
      <c r="V28" s="147">
        <v>1553</v>
      </c>
      <c r="W28" s="151">
        <v>1125</v>
      </c>
      <c r="X28" s="147">
        <v>1205</v>
      </c>
      <c r="Y28" s="147">
        <v>1446</v>
      </c>
      <c r="Z28" s="147">
        <v>1671</v>
      </c>
      <c r="AA28" s="152">
        <v>1864</v>
      </c>
      <c r="AB28" s="151">
        <v>1312</v>
      </c>
      <c r="AC28" s="147">
        <v>1406</v>
      </c>
      <c r="AD28" s="147">
        <v>1687</v>
      </c>
      <c r="AE28" s="147">
        <v>1949</v>
      </c>
      <c r="AF28" s="152">
        <v>2175</v>
      </c>
      <c r="AG28" s="151">
        <v>1500</v>
      </c>
      <c r="AH28" s="147">
        <v>1607</v>
      </c>
      <c r="AI28" s="147">
        <v>1928</v>
      </c>
      <c r="AJ28" s="147">
        <v>2228</v>
      </c>
      <c r="AK28" s="152">
        <v>2486</v>
      </c>
      <c r="AM28" s="151">
        <v>563</v>
      </c>
      <c r="AN28" s="147">
        <v>603</v>
      </c>
      <c r="AO28" s="147">
        <v>723</v>
      </c>
      <c r="AP28" s="147">
        <v>896</v>
      </c>
      <c r="AQ28" s="152">
        <v>1109</v>
      </c>
      <c r="AS28" s="151">
        <v>562</v>
      </c>
      <c r="AT28" s="147">
        <v>602</v>
      </c>
      <c r="AU28" s="147">
        <v>723</v>
      </c>
      <c r="AV28" s="147">
        <v>896</v>
      </c>
      <c r="AW28" s="152">
        <v>1109</v>
      </c>
      <c r="AX28" s="151">
        <v>937</v>
      </c>
      <c r="AY28" s="147">
        <v>1004</v>
      </c>
      <c r="AZ28" s="147">
        <v>1205</v>
      </c>
      <c r="BA28" s="147">
        <v>1392</v>
      </c>
      <c r="BB28" s="152">
        <v>1553</v>
      </c>
      <c r="BC28" s="151">
        <v>1500</v>
      </c>
      <c r="BD28" s="147">
        <v>1607</v>
      </c>
      <c r="BE28" s="147">
        <v>1928</v>
      </c>
      <c r="BF28" s="147">
        <v>2228</v>
      </c>
      <c r="BG28" s="152">
        <v>2486</v>
      </c>
      <c r="BI28" s="151">
        <v>725</v>
      </c>
      <c r="BJ28" s="147">
        <v>839</v>
      </c>
      <c r="BK28" s="147">
        <v>1000</v>
      </c>
      <c r="BL28" s="147">
        <v>1387</v>
      </c>
      <c r="BM28" s="152">
        <v>1678</v>
      </c>
      <c r="BO28" s="150" t="s">
        <v>105</v>
      </c>
      <c r="BP28" s="151">
        <v>725</v>
      </c>
      <c r="BQ28" s="147">
        <v>839</v>
      </c>
      <c r="BR28" s="147">
        <v>1000</v>
      </c>
      <c r="BS28" s="147">
        <v>1387</v>
      </c>
      <c r="BT28" s="152">
        <v>1553</v>
      </c>
      <c r="BV28" s="150" t="s">
        <v>105</v>
      </c>
      <c r="BW28" s="151">
        <v>725</v>
      </c>
      <c r="BX28" s="147">
        <v>839</v>
      </c>
      <c r="BY28" s="147">
        <v>1000</v>
      </c>
      <c r="BZ28" s="147">
        <v>1387</v>
      </c>
      <c r="CA28" s="152">
        <v>1678</v>
      </c>
    </row>
    <row r="29" spans="1:79" s="157" customFormat="1" x14ac:dyDescent="0.25">
      <c r="A29" s="153" t="s">
        <v>106</v>
      </c>
      <c r="B29" s="497">
        <v>50750</v>
      </c>
      <c r="C29" s="154">
        <v>375</v>
      </c>
      <c r="D29" s="155">
        <v>401</v>
      </c>
      <c r="E29" s="155">
        <v>482</v>
      </c>
      <c r="F29" s="155">
        <v>557</v>
      </c>
      <c r="G29" s="156">
        <v>621</v>
      </c>
      <c r="H29" s="154">
        <v>562</v>
      </c>
      <c r="I29" s="155">
        <v>602</v>
      </c>
      <c r="J29" s="155">
        <v>723</v>
      </c>
      <c r="K29" s="155">
        <v>835</v>
      </c>
      <c r="L29" s="155">
        <v>932</v>
      </c>
      <c r="M29" s="154">
        <v>750</v>
      </c>
      <c r="N29" s="155">
        <v>803</v>
      </c>
      <c r="O29" s="155">
        <v>964</v>
      </c>
      <c r="P29" s="155">
        <v>1114</v>
      </c>
      <c r="Q29" s="156">
        <v>1243</v>
      </c>
      <c r="R29" s="154">
        <v>937</v>
      </c>
      <c r="S29" s="155">
        <v>1004</v>
      </c>
      <c r="T29" s="155">
        <v>1205</v>
      </c>
      <c r="U29" s="155">
        <v>1392</v>
      </c>
      <c r="V29" s="155">
        <v>1553</v>
      </c>
      <c r="W29" s="154">
        <v>1125</v>
      </c>
      <c r="X29" s="155">
        <v>1205</v>
      </c>
      <c r="Y29" s="155">
        <v>1446</v>
      </c>
      <c r="Z29" s="155">
        <v>1671</v>
      </c>
      <c r="AA29" s="156">
        <v>1864</v>
      </c>
      <c r="AB29" s="154">
        <v>1312</v>
      </c>
      <c r="AC29" s="155">
        <v>1406</v>
      </c>
      <c r="AD29" s="155">
        <v>1687</v>
      </c>
      <c r="AE29" s="155">
        <v>1949</v>
      </c>
      <c r="AF29" s="156">
        <v>2175</v>
      </c>
      <c r="AG29" s="154">
        <v>1500</v>
      </c>
      <c r="AH29" s="155">
        <v>1607</v>
      </c>
      <c r="AI29" s="155">
        <v>1928</v>
      </c>
      <c r="AJ29" s="155">
        <v>2228</v>
      </c>
      <c r="AK29" s="156">
        <v>2486</v>
      </c>
      <c r="AL29"/>
      <c r="AM29" s="154">
        <v>563</v>
      </c>
      <c r="AN29" s="155">
        <v>603</v>
      </c>
      <c r="AO29" s="155">
        <v>723</v>
      </c>
      <c r="AP29" s="155">
        <v>896</v>
      </c>
      <c r="AQ29" s="156">
        <v>1109</v>
      </c>
      <c r="AR29"/>
      <c r="AS29" s="154">
        <v>562</v>
      </c>
      <c r="AT29" s="155">
        <v>602</v>
      </c>
      <c r="AU29" s="155">
        <v>723</v>
      </c>
      <c r="AV29" s="155">
        <v>896</v>
      </c>
      <c r="AW29" s="156">
        <v>1109</v>
      </c>
      <c r="AX29" s="154">
        <v>937</v>
      </c>
      <c r="AY29" s="155">
        <v>1004</v>
      </c>
      <c r="AZ29" s="155">
        <v>1205</v>
      </c>
      <c r="BA29" s="155">
        <v>1392</v>
      </c>
      <c r="BB29" s="156">
        <v>1553</v>
      </c>
      <c r="BC29" s="154">
        <v>1500</v>
      </c>
      <c r="BD29" s="155">
        <v>1607</v>
      </c>
      <c r="BE29" s="155">
        <v>1928</v>
      </c>
      <c r="BF29" s="155">
        <v>2228</v>
      </c>
      <c r="BG29" s="156">
        <v>2486</v>
      </c>
      <c r="BH29"/>
      <c r="BI29" s="154">
        <v>760</v>
      </c>
      <c r="BJ29" s="155">
        <v>787</v>
      </c>
      <c r="BK29" s="155">
        <v>873</v>
      </c>
      <c r="BL29" s="155">
        <v>1194</v>
      </c>
      <c r="BM29" s="156">
        <v>1464</v>
      </c>
      <c r="BN29"/>
      <c r="BO29" s="153" t="s">
        <v>106</v>
      </c>
      <c r="BP29" s="154">
        <v>760</v>
      </c>
      <c r="BQ29" s="155">
        <v>787</v>
      </c>
      <c r="BR29" s="155">
        <v>873</v>
      </c>
      <c r="BS29" s="155">
        <v>1194</v>
      </c>
      <c r="BT29" s="156">
        <v>1464</v>
      </c>
      <c r="BU29"/>
      <c r="BV29" s="153" t="s">
        <v>106</v>
      </c>
      <c r="BW29" s="154">
        <v>760</v>
      </c>
      <c r="BX29" s="155">
        <v>787</v>
      </c>
      <c r="BY29" s="155">
        <v>873</v>
      </c>
      <c r="BZ29" s="155">
        <v>1194</v>
      </c>
      <c r="CA29" s="156">
        <v>1464</v>
      </c>
    </row>
    <row r="30" spans="1:79" x14ac:dyDescent="0.25">
      <c r="A30" s="150" t="s">
        <v>107</v>
      </c>
      <c r="B30" s="496">
        <v>54150</v>
      </c>
      <c r="C30" s="151">
        <v>447</v>
      </c>
      <c r="D30" s="147">
        <v>479</v>
      </c>
      <c r="E30" s="147">
        <v>575</v>
      </c>
      <c r="F30" s="147">
        <v>664</v>
      </c>
      <c r="G30" s="152">
        <v>741</v>
      </c>
      <c r="H30" s="151">
        <v>670</v>
      </c>
      <c r="I30" s="147">
        <v>718</v>
      </c>
      <c r="J30" s="147">
        <v>862</v>
      </c>
      <c r="K30" s="147">
        <v>996</v>
      </c>
      <c r="L30" s="147">
        <v>1111</v>
      </c>
      <c r="M30" s="151">
        <v>894</v>
      </c>
      <c r="N30" s="147">
        <v>958</v>
      </c>
      <c r="O30" s="147">
        <v>1150</v>
      </c>
      <c r="P30" s="147">
        <v>1328</v>
      </c>
      <c r="Q30" s="152">
        <v>1482</v>
      </c>
      <c r="R30" s="151">
        <v>1117</v>
      </c>
      <c r="S30" s="147">
        <v>1197</v>
      </c>
      <c r="T30" s="147">
        <v>1437</v>
      </c>
      <c r="U30" s="147">
        <v>1660</v>
      </c>
      <c r="V30" s="147">
        <v>1852</v>
      </c>
      <c r="W30" s="151">
        <v>1341</v>
      </c>
      <c r="X30" s="147">
        <v>1437</v>
      </c>
      <c r="Y30" s="147">
        <v>1725</v>
      </c>
      <c r="Z30" s="147">
        <v>1992</v>
      </c>
      <c r="AA30" s="152">
        <v>2223</v>
      </c>
      <c r="AB30" s="151">
        <v>1564</v>
      </c>
      <c r="AC30" s="147">
        <v>1676</v>
      </c>
      <c r="AD30" s="147">
        <v>2012</v>
      </c>
      <c r="AE30" s="147">
        <v>2324</v>
      </c>
      <c r="AF30" s="152">
        <v>2593</v>
      </c>
      <c r="AG30" s="151">
        <v>1788</v>
      </c>
      <c r="AH30" s="147">
        <v>1916</v>
      </c>
      <c r="AI30" s="147">
        <v>2300</v>
      </c>
      <c r="AJ30" s="147">
        <v>2657</v>
      </c>
      <c r="AK30" s="152">
        <v>2964</v>
      </c>
      <c r="AM30" s="151">
        <v>671</v>
      </c>
      <c r="AN30" s="147">
        <v>718</v>
      </c>
      <c r="AO30" s="147">
        <v>862</v>
      </c>
      <c r="AP30" s="147">
        <v>996</v>
      </c>
      <c r="AQ30" s="152">
        <v>1111</v>
      </c>
      <c r="AS30" s="151">
        <v>670</v>
      </c>
      <c r="AT30" s="147">
        <v>718</v>
      </c>
      <c r="AU30" s="147">
        <v>862</v>
      </c>
      <c r="AV30" s="147">
        <v>996</v>
      </c>
      <c r="AW30" s="152">
        <v>1111</v>
      </c>
      <c r="AX30" s="151">
        <v>1117</v>
      </c>
      <c r="AY30" s="147">
        <v>1197</v>
      </c>
      <c r="AZ30" s="147">
        <v>1437</v>
      </c>
      <c r="BA30" s="147">
        <v>1660</v>
      </c>
      <c r="BB30" s="152">
        <v>1852</v>
      </c>
      <c r="BC30" s="151">
        <v>1788</v>
      </c>
      <c r="BD30" s="147">
        <v>1916</v>
      </c>
      <c r="BE30" s="147">
        <v>2300</v>
      </c>
      <c r="BF30" s="147">
        <v>2657</v>
      </c>
      <c r="BG30" s="152">
        <v>2964</v>
      </c>
      <c r="BI30" s="151">
        <v>1117</v>
      </c>
      <c r="BJ30" s="147">
        <v>1124</v>
      </c>
      <c r="BK30" s="147">
        <v>1354</v>
      </c>
      <c r="BL30" s="147">
        <v>1672</v>
      </c>
      <c r="BM30" s="152">
        <v>2271</v>
      </c>
      <c r="BO30" s="150" t="s">
        <v>107</v>
      </c>
      <c r="BP30" s="151">
        <v>1117</v>
      </c>
      <c r="BQ30" s="147">
        <v>1124</v>
      </c>
      <c r="BR30" s="147">
        <v>1354</v>
      </c>
      <c r="BS30" s="147">
        <v>1660</v>
      </c>
      <c r="BT30" s="152">
        <v>1852</v>
      </c>
      <c r="BV30" s="150" t="s">
        <v>107</v>
      </c>
      <c r="BW30" s="151">
        <v>1117</v>
      </c>
      <c r="BX30" s="147">
        <v>1124</v>
      </c>
      <c r="BY30" s="147">
        <v>1354</v>
      </c>
      <c r="BZ30" s="147">
        <v>1672</v>
      </c>
      <c r="CA30" s="152">
        <v>2271</v>
      </c>
    </row>
    <row r="31" spans="1:79" s="157" customFormat="1" x14ac:dyDescent="0.25">
      <c r="A31" s="153" t="s">
        <v>108</v>
      </c>
      <c r="B31" s="497">
        <v>50750</v>
      </c>
      <c r="C31" s="154">
        <v>405</v>
      </c>
      <c r="D31" s="155">
        <v>434</v>
      </c>
      <c r="E31" s="155">
        <v>521</v>
      </c>
      <c r="F31" s="155">
        <v>601</v>
      </c>
      <c r="G31" s="156">
        <v>671</v>
      </c>
      <c r="H31" s="154">
        <v>607</v>
      </c>
      <c r="I31" s="155">
        <v>651</v>
      </c>
      <c r="J31" s="155">
        <v>781</v>
      </c>
      <c r="K31" s="155">
        <v>902</v>
      </c>
      <c r="L31" s="155">
        <v>1007</v>
      </c>
      <c r="M31" s="154">
        <v>810</v>
      </c>
      <c r="N31" s="155">
        <v>868</v>
      </c>
      <c r="O31" s="155">
        <v>1042</v>
      </c>
      <c r="P31" s="155">
        <v>1203</v>
      </c>
      <c r="Q31" s="156">
        <v>1343</v>
      </c>
      <c r="R31" s="154">
        <v>1012</v>
      </c>
      <c r="S31" s="155">
        <v>1085</v>
      </c>
      <c r="T31" s="155">
        <v>1302</v>
      </c>
      <c r="U31" s="155">
        <v>1504</v>
      </c>
      <c r="V31" s="155">
        <v>1678</v>
      </c>
      <c r="W31" s="154">
        <v>1215</v>
      </c>
      <c r="X31" s="155">
        <v>1302</v>
      </c>
      <c r="Y31" s="155">
        <v>1563</v>
      </c>
      <c r="Z31" s="155">
        <v>1805</v>
      </c>
      <c r="AA31" s="156">
        <v>2014</v>
      </c>
      <c r="AB31" s="154">
        <v>1417</v>
      </c>
      <c r="AC31" s="155">
        <v>1519</v>
      </c>
      <c r="AD31" s="155">
        <v>1823</v>
      </c>
      <c r="AE31" s="155">
        <v>2106</v>
      </c>
      <c r="AF31" s="156">
        <v>2350</v>
      </c>
      <c r="AG31" s="154">
        <v>1620</v>
      </c>
      <c r="AH31" s="155">
        <v>1736</v>
      </c>
      <c r="AI31" s="155">
        <v>2084</v>
      </c>
      <c r="AJ31" s="155">
        <v>2407</v>
      </c>
      <c r="AK31" s="156">
        <v>2686</v>
      </c>
      <c r="AL31"/>
      <c r="AM31" s="154">
        <v>607</v>
      </c>
      <c r="AN31" s="155">
        <v>651</v>
      </c>
      <c r="AO31" s="155">
        <v>781</v>
      </c>
      <c r="AP31" s="155">
        <v>902</v>
      </c>
      <c r="AQ31" s="156">
        <v>1109</v>
      </c>
      <c r="AR31"/>
      <c r="AS31" s="154">
        <v>607</v>
      </c>
      <c r="AT31" s="155">
        <v>651</v>
      </c>
      <c r="AU31" s="155">
        <v>781</v>
      </c>
      <c r="AV31" s="155">
        <v>917</v>
      </c>
      <c r="AW31" s="156">
        <v>1109</v>
      </c>
      <c r="AX31" s="154">
        <v>1012</v>
      </c>
      <c r="AY31" s="155">
        <v>1085</v>
      </c>
      <c r="AZ31" s="155">
        <v>1302</v>
      </c>
      <c r="BA31" s="155">
        <v>1504</v>
      </c>
      <c r="BB31" s="156">
        <v>1678</v>
      </c>
      <c r="BC31" s="154">
        <v>1620</v>
      </c>
      <c r="BD31" s="155">
        <v>1736</v>
      </c>
      <c r="BE31" s="155">
        <v>2084</v>
      </c>
      <c r="BF31" s="155">
        <v>2407</v>
      </c>
      <c r="BG31" s="156">
        <v>2686</v>
      </c>
      <c r="BH31"/>
      <c r="BI31" s="154">
        <v>760</v>
      </c>
      <c r="BJ31" s="155">
        <v>796</v>
      </c>
      <c r="BK31" s="155">
        <v>873</v>
      </c>
      <c r="BL31" s="155">
        <v>1214</v>
      </c>
      <c r="BM31" s="156">
        <v>1464</v>
      </c>
      <c r="BN31"/>
      <c r="BO31" s="153" t="s">
        <v>108</v>
      </c>
      <c r="BP31" s="154">
        <v>760</v>
      </c>
      <c r="BQ31" s="155">
        <v>796</v>
      </c>
      <c r="BR31" s="155">
        <v>873</v>
      </c>
      <c r="BS31" s="155">
        <v>1214</v>
      </c>
      <c r="BT31" s="156">
        <v>1464</v>
      </c>
      <c r="BU31"/>
      <c r="BV31" s="153" t="s">
        <v>108</v>
      </c>
      <c r="BW31" s="154">
        <v>760</v>
      </c>
      <c r="BX31" s="155">
        <v>796</v>
      </c>
      <c r="BY31" s="155">
        <v>873</v>
      </c>
      <c r="BZ31" s="155">
        <v>1214</v>
      </c>
      <c r="CA31" s="156">
        <v>1464</v>
      </c>
    </row>
    <row r="32" spans="1:79" x14ac:dyDescent="0.25">
      <c r="A32" s="150" t="s">
        <v>109</v>
      </c>
      <c r="B32" s="496">
        <v>56250</v>
      </c>
      <c r="C32" s="151">
        <v>379</v>
      </c>
      <c r="D32" s="147">
        <v>406</v>
      </c>
      <c r="E32" s="147">
        <v>487</v>
      </c>
      <c r="F32" s="147">
        <v>562</v>
      </c>
      <c r="G32" s="152">
        <v>628</v>
      </c>
      <c r="H32" s="151">
        <v>568</v>
      </c>
      <c r="I32" s="147">
        <v>609</v>
      </c>
      <c r="J32" s="147">
        <v>730</v>
      </c>
      <c r="K32" s="147">
        <v>844</v>
      </c>
      <c r="L32" s="147">
        <v>942</v>
      </c>
      <c r="M32" s="151">
        <v>758</v>
      </c>
      <c r="N32" s="147">
        <v>812</v>
      </c>
      <c r="O32" s="147">
        <v>974</v>
      </c>
      <c r="P32" s="147">
        <v>1125</v>
      </c>
      <c r="Q32" s="152">
        <v>1256</v>
      </c>
      <c r="R32" s="151">
        <v>947</v>
      </c>
      <c r="S32" s="147">
        <v>1015</v>
      </c>
      <c r="T32" s="147">
        <v>1217</v>
      </c>
      <c r="U32" s="147">
        <v>1406</v>
      </c>
      <c r="V32" s="147">
        <v>1570</v>
      </c>
      <c r="W32" s="151">
        <v>1137</v>
      </c>
      <c r="X32" s="147">
        <v>1218</v>
      </c>
      <c r="Y32" s="147">
        <v>1461</v>
      </c>
      <c r="Z32" s="147">
        <v>1688</v>
      </c>
      <c r="AA32" s="152">
        <v>1884</v>
      </c>
      <c r="AB32" s="151">
        <v>1326</v>
      </c>
      <c r="AC32" s="147">
        <v>1421</v>
      </c>
      <c r="AD32" s="147">
        <v>1704</v>
      </c>
      <c r="AE32" s="147">
        <v>1969</v>
      </c>
      <c r="AF32" s="152">
        <v>2198</v>
      </c>
      <c r="AG32" s="151">
        <v>1516</v>
      </c>
      <c r="AH32" s="147">
        <v>1624</v>
      </c>
      <c r="AI32" s="147">
        <v>1948</v>
      </c>
      <c r="AJ32" s="147">
        <v>2251</v>
      </c>
      <c r="AK32" s="152">
        <v>2512</v>
      </c>
      <c r="AM32" s="151">
        <v>568</v>
      </c>
      <c r="AN32" s="147">
        <v>609</v>
      </c>
      <c r="AO32" s="147">
        <v>731</v>
      </c>
      <c r="AP32" s="147">
        <v>896</v>
      </c>
      <c r="AQ32" s="152">
        <v>1109</v>
      </c>
      <c r="AS32" s="151">
        <v>568</v>
      </c>
      <c r="AT32" s="147">
        <v>609</v>
      </c>
      <c r="AU32" s="147">
        <v>730</v>
      </c>
      <c r="AV32" s="147">
        <v>896</v>
      </c>
      <c r="AW32" s="152">
        <v>1109</v>
      </c>
      <c r="AX32" s="151">
        <v>947</v>
      </c>
      <c r="AY32" s="147">
        <v>1015</v>
      </c>
      <c r="AZ32" s="147">
        <v>1217</v>
      </c>
      <c r="BA32" s="147">
        <v>1406</v>
      </c>
      <c r="BB32" s="152">
        <v>1570</v>
      </c>
      <c r="BC32" s="151">
        <v>1516</v>
      </c>
      <c r="BD32" s="147">
        <v>1624</v>
      </c>
      <c r="BE32" s="147">
        <v>1948</v>
      </c>
      <c r="BF32" s="147">
        <v>2251</v>
      </c>
      <c r="BG32" s="152">
        <v>2512</v>
      </c>
      <c r="BI32" s="151">
        <v>875</v>
      </c>
      <c r="BJ32" s="147">
        <v>881</v>
      </c>
      <c r="BK32" s="147">
        <v>1156</v>
      </c>
      <c r="BL32" s="147">
        <v>1386</v>
      </c>
      <c r="BM32" s="152">
        <v>1531</v>
      </c>
      <c r="BO32" s="150" t="s">
        <v>109</v>
      </c>
      <c r="BP32" s="151">
        <v>875</v>
      </c>
      <c r="BQ32" s="147">
        <v>881</v>
      </c>
      <c r="BR32" s="147">
        <v>1156</v>
      </c>
      <c r="BS32" s="147">
        <v>1386</v>
      </c>
      <c r="BT32" s="152">
        <v>1531</v>
      </c>
      <c r="BV32" s="150" t="s">
        <v>109</v>
      </c>
      <c r="BW32" s="151">
        <v>875</v>
      </c>
      <c r="BX32" s="147">
        <v>881</v>
      </c>
      <c r="BY32" s="147">
        <v>1156</v>
      </c>
      <c r="BZ32" s="147">
        <v>1386</v>
      </c>
      <c r="CA32" s="152">
        <v>1531</v>
      </c>
    </row>
    <row r="33" spans="1:79" s="157" customFormat="1" x14ac:dyDescent="0.25">
      <c r="A33" s="153" t="s">
        <v>110</v>
      </c>
      <c r="B33" s="497">
        <v>54250</v>
      </c>
      <c r="C33" s="154">
        <v>395</v>
      </c>
      <c r="D33" s="155">
        <v>423</v>
      </c>
      <c r="E33" s="155">
        <v>508</v>
      </c>
      <c r="F33" s="155">
        <v>587</v>
      </c>
      <c r="G33" s="156">
        <v>655</v>
      </c>
      <c r="H33" s="154">
        <v>593</v>
      </c>
      <c r="I33" s="155">
        <v>635</v>
      </c>
      <c r="J33" s="155">
        <v>762</v>
      </c>
      <c r="K33" s="155">
        <v>881</v>
      </c>
      <c r="L33" s="155">
        <v>983</v>
      </c>
      <c r="M33" s="154">
        <v>791</v>
      </c>
      <c r="N33" s="155">
        <v>847</v>
      </c>
      <c r="O33" s="155">
        <v>1017</v>
      </c>
      <c r="P33" s="155">
        <v>1175</v>
      </c>
      <c r="Q33" s="156">
        <v>1311</v>
      </c>
      <c r="R33" s="154">
        <v>988</v>
      </c>
      <c r="S33" s="155">
        <v>1059</v>
      </c>
      <c r="T33" s="155">
        <v>1271</v>
      </c>
      <c r="U33" s="155">
        <v>1469</v>
      </c>
      <c r="V33" s="155">
        <v>1638</v>
      </c>
      <c r="W33" s="154">
        <v>1186</v>
      </c>
      <c r="X33" s="155">
        <v>1271</v>
      </c>
      <c r="Y33" s="155">
        <v>1525</v>
      </c>
      <c r="Z33" s="155">
        <v>1763</v>
      </c>
      <c r="AA33" s="156">
        <v>1966</v>
      </c>
      <c r="AB33" s="154">
        <v>1384</v>
      </c>
      <c r="AC33" s="155">
        <v>1483</v>
      </c>
      <c r="AD33" s="155">
        <v>1779</v>
      </c>
      <c r="AE33" s="155">
        <v>2057</v>
      </c>
      <c r="AF33" s="156">
        <v>2294</v>
      </c>
      <c r="AG33" s="154">
        <v>1582</v>
      </c>
      <c r="AH33" s="155">
        <v>1695</v>
      </c>
      <c r="AI33" s="155">
        <v>2034</v>
      </c>
      <c r="AJ33" s="155">
        <v>2351</v>
      </c>
      <c r="AK33" s="156">
        <v>2622</v>
      </c>
      <c r="AL33"/>
      <c r="AM33" s="154">
        <v>593</v>
      </c>
      <c r="AN33" s="155">
        <v>636</v>
      </c>
      <c r="AO33" s="155">
        <v>763</v>
      </c>
      <c r="AP33" s="155">
        <v>896</v>
      </c>
      <c r="AQ33" s="156">
        <v>1109</v>
      </c>
      <c r="AR33"/>
      <c r="AS33" s="154">
        <v>593</v>
      </c>
      <c r="AT33" s="155">
        <v>635</v>
      </c>
      <c r="AU33" s="155">
        <v>762</v>
      </c>
      <c r="AV33" s="155">
        <v>907</v>
      </c>
      <c r="AW33" s="156">
        <v>1109</v>
      </c>
      <c r="AX33" s="154">
        <v>988</v>
      </c>
      <c r="AY33" s="155">
        <v>1059</v>
      </c>
      <c r="AZ33" s="155">
        <v>1271</v>
      </c>
      <c r="BA33" s="155">
        <v>1469</v>
      </c>
      <c r="BB33" s="156">
        <v>1638</v>
      </c>
      <c r="BC33" s="154">
        <v>1582</v>
      </c>
      <c r="BD33" s="155">
        <v>1695</v>
      </c>
      <c r="BE33" s="155">
        <v>2034</v>
      </c>
      <c r="BF33" s="155">
        <v>2351</v>
      </c>
      <c r="BG33" s="156">
        <v>2622</v>
      </c>
      <c r="BH33"/>
      <c r="BI33" s="154">
        <v>961</v>
      </c>
      <c r="BJ33" s="155">
        <v>1030</v>
      </c>
      <c r="BK33" s="155">
        <v>1175</v>
      </c>
      <c r="BL33" s="155">
        <v>1634</v>
      </c>
      <c r="BM33" s="156">
        <v>1884</v>
      </c>
      <c r="BN33"/>
      <c r="BO33" s="153" t="s">
        <v>110</v>
      </c>
      <c r="BP33" s="154">
        <v>961</v>
      </c>
      <c r="BQ33" s="155">
        <v>1030</v>
      </c>
      <c r="BR33" s="155">
        <v>1175</v>
      </c>
      <c r="BS33" s="155">
        <v>1540</v>
      </c>
      <c r="BT33" s="156">
        <v>1718</v>
      </c>
      <c r="BU33"/>
      <c r="BV33" s="153" t="s">
        <v>110</v>
      </c>
      <c r="BW33" s="154">
        <v>961</v>
      </c>
      <c r="BX33" s="155">
        <v>1030</v>
      </c>
      <c r="BY33" s="155">
        <v>1175</v>
      </c>
      <c r="BZ33" s="155">
        <v>1634</v>
      </c>
      <c r="CA33" s="156">
        <v>1884</v>
      </c>
    </row>
    <row r="34" spans="1:79" x14ac:dyDescent="0.25">
      <c r="A34" s="150" t="s">
        <v>111</v>
      </c>
      <c r="B34" s="496">
        <v>51400</v>
      </c>
      <c r="C34" s="151">
        <v>375</v>
      </c>
      <c r="D34" s="147">
        <v>401</v>
      </c>
      <c r="E34" s="147">
        <v>482</v>
      </c>
      <c r="F34" s="147">
        <v>557</v>
      </c>
      <c r="G34" s="152">
        <v>621</v>
      </c>
      <c r="H34" s="151">
        <v>562</v>
      </c>
      <c r="I34" s="147">
        <v>602</v>
      </c>
      <c r="J34" s="147">
        <v>723</v>
      </c>
      <c r="K34" s="147">
        <v>835</v>
      </c>
      <c r="L34" s="147">
        <v>932</v>
      </c>
      <c r="M34" s="151">
        <v>750</v>
      </c>
      <c r="N34" s="147">
        <v>803</v>
      </c>
      <c r="O34" s="147">
        <v>964</v>
      </c>
      <c r="P34" s="147">
        <v>1114</v>
      </c>
      <c r="Q34" s="152">
        <v>1243</v>
      </c>
      <c r="R34" s="151">
        <v>937</v>
      </c>
      <c r="S34" s="147">
        <v>1004</v>
      </c>
      <c r="T34" s="147">
        <v>1205</v>
      </c>
      <c r="U34" s="147">
        <v>1392</v>
      </c>
      <c r="V34" s="147">
        <v>1553</v>
      </c>
      <c r="W34" s="151">
        <v>1125</v>
      </c>
      <c r="X34" s="147">
        <v>1205</v>
      </c>
      <c r="Y34" s="147">
        <v>1446</v>
      </c>
      <c r="Z34" s="147">
        <v>1671</v>
      </c>
      <c r="AA34" s="152">
        <v>1864</v>
      </c>
      <c r="AB34" s="151">
        <v>1312</v>
      </c>
      <c r="AC34" s="147">
        <v>1406</v>
      </c>
      <c r="AD34" s="147">
        <v>1687</v>
      </c>
      <c r="AE34" s="147">
        <v>1949</v>
      </c>
      <c r="AF34" s="152">
        <v>2175</v>
      </c>
      <c r="AG34" s="151">
        <v>1500</v>
      </c>
      <c r="AH34" s="147">
        <v>1607</v>
      </c>
      <c r="AI34" s="147">
        <v>1928</v>
      </c>
      <c r="AJ34" s="147">
        <v>2228</v>
      </c>
      <c r="AK34" s="152">
        <v>2486</v>
      </c>
      <c r="AM34" s="151">
        <v>563</v>
      </c>
      <c r="AN34" s="147">
        <v>603</v>
      </c>
      <c r="AO34" s="147">
        <v>723</v>
      </c>
      <c r="AP34" s="147">
        <v>896</v>
      </c>
      <c r="AQ34" s="152">
        <v>1109</v>
      </c>
      <c r="AS34" s="151">
        <v>562</v>
      </c>
      <c r="AT34" s="147">
        <v>602</v>
      </c>
      <c r="AU34" s="147">
        <v>723</v>
      </c>
      <c r="AV34" s="147">
        <v>896</v>
      </c>
      <c r="AW34" s="152">
        <v>1109</v>
      </c>
      <c r="AX34" s="151">
        <v>937</v>
      </c>
      <c r="AY34" s="147">
        <v>1004</v>
      </c>
      <c r="AZ34" s="147">
        <v>1205</v>
      </c>
      <c r="BA34" s="147">
        <v>1392</v>
      </c>
      <c r="BB34" s="152">
        <v>1553</v>
      </c>
      <c r="BC34" s="151">
        <v>1500</v>
      </c>
      <c r="BD34" s="147">
        <v>1607</v>
      </c>
      <c r="BE34" s="147">
        <v>1928</v>
      </c>
      <c r="BF34" s="147">
        <v>2228</v>
      </c>
      <c r="BG34" s="152">
        <v>2486</v>
      </c>
      <c r="BI34" s="151">
        <v>738</v>
      </c>
      <c r="BJ34" s="147">
        <v>850</v>
      </c>
      <c r="BK34" s="147">
        <v>1071</v>
      </c>
      <c r="BL34" s="147">
        <v>1386</v>
      </c>
      <c r="BM34" s="152">
        <v>1505</v>
      </c>
      <c r="BO34" s="150" t="s">
        <v>111</v>
      </c>
      <c r="BP34" s="151">
        <v>738</v>
      </c>
      <c r="BQ34" s="147">
        <v>850</v>
      </c>
      <c r="BR34" s="147">
        <v>1071</v>
      </c>
      <c r="BS34" s="147">
        <v>1386</v>
      </c>
      <c r="BT34" s="152">
        <v>1505</v>
      </c>
      <c r="BV34" s="150" t="s">
        <v>111</v>
      </c>
      <c r="BW34" s="151">
        <v>738</v>
      </c>
      <c r="BX34" s="147">
        <v>850</v>
      </c>
      <c r="BY34" s="147">
        <v>1071</v>
      </c>
      <c r="BZ34" s="147">
        <v>1386</v>
      </c>
      <c r="CA34" s="152">
        <v>1505</v>
      </c>
    </row>
    <row r="35" spans="1:79" s="157" customFormat="1" x14ac:dyDescent="0.25">
      <c r="A35" s="153" t="s">
        <v>112</v>
      </c>
      <c r="B35" s="497">
        <v>50750</v>
      </c>
      <c r="C35" s="154">
        <v>375</v>
      </c>
      <c r="D35" s="155">
        <v>401</v>
      </c>
      <c r="E35" s="155">
        <v>482</v>
      </c>
      <c r="F35" s="155">
        <v>557</v>
      </c>
      <c r="G35" s="156">
        <v>621</v>
      </c>
      <c r="H35" s="154">
        <v>562</v>
      </c>
      <c r="I35" s="155">
        <v>602</v>
      </c>
      <c r="J35" s="155">
        <v>723</v>
      </c>
      <c r="K35" s="155">
        <v>835</v>
      </c>
      <c r="L35" s="155">
        <v>932</v>
      </c>
      <c r="M35" s="154">
        <v>750</v>
      </c>
      <c r="N35" s="155">
        <v>803</v>
      </c>
      <c r="O35" s="155">
        <v>964</v>
      </c>
      <c r="P35" s="155">
        <v>1114</v>
      </c>
      <c r="Q35" s="156">
        <v>1243</v>
      </c>
      <c r="R35" s="154">
        <v>937</v>
      </c>
      <c r="S35" s="155">
        <v>1004</v>
      </c>
      <c r="T35" s="155">
        <v>1205</v>
      </c>
      <c r="U35" s="155">
        <v>1392</v>
      </c>
      <c r="V35" s="155">
        <v>1553</v>
      </c>
      <c r="W35" s="154">
        <v>1125</v>
      </c>
      <c r="X35" s="155">
        <v>1205</v>
      </c>
      <c r="Y35" s="155">
        <v>1446</v>
      </c>
      <c r="Z35" s="155">
        <v>1671</v>
      </c>
      <c r="AA35" s="156">
        <v>1864</v>
      </c>
      <c r="AB35" s="154">
        <v>1312</v>
      </c>
      <c r="AC35" s="155">
        <v>1406</v>
      </c>
      <c r="AD35" s="155">
        <v>1687</v>
      </c>
      <c r="AE35" s="155">
        <v>1949</v>
      </c>
      <c r="AF35" s="156">
        <v>2175</v>
      </c>
      <c r="AG35" s="154">
        <v>1500</v>
      </c>
      <c r="AH35" s="155">
        <v>1607</v>
      </c>
      <c r="AI35" s="155">
        <v>1928</v>
      </c>
      <c r="AJ35" s="155">
        <v>2228</v>
      </c>
      <c r="AK35" s="156">
        <v>2486</v>
      </c>
      <c r="AL35"/>
      <c r="AM35" s="154">
        <v>563</v>
      </c>
      <c r="AN35" s="155">
        <v>603</v>
      </c>
      <c r="AO35" s="155">
        <v>723</v>
      </c>
      <c r="AP35" s="155">
        <v>896</v>
      </c>
      <c r="AQ35" s="156">
        <v>1109</v>
      </c>
      <c r="AR35"/>
      <c r="AS35" s="154">
        <v>562</v>
      </c>
      <c r="AT35" s="155">
        <v>602</v>
      </c>
      <c r="AU35" s="155">
        <v>723</v>
      </c>
      <c r="AV35" s="155">
        <v>896</v>
      </c>
      <c r="AW35" s="156">
        <v>1109</v>
      </c>
      <c r="AX35" s="154">
        <v>937</v>
      </c>
      <c r="AY35" s="155">
        <v>1004</v>
      </c>
      <c r="AZ35" s="155">
        <v>1205</v>
      </c>
      <c r="BA35" s="155">
        <v>1392</v>
      </c>
      <c r="BB35" s="156">
        <v>1553</v>
      </c>
      <c r="BC35" s="154">
        <v>1500</v>
      </c>
      <c r="BD35" s="155">
        <v>1607</v>
      </c>
      <c r="BE35" s="155">
        <v>1928</v>
      </c>
      <c r="BF35" s="155">
        <v>2228</v>
      </c>
      <c r="BG35" s="156">
        <v>2486</v>
      </c>
      <c r="BH35"/>
      <c r="BI35" s="154">
        <v>732</v>
      </c>
      <c r="BJ35" s="155">
        <v>745</v>
      </c>
      <c r="BK35" s="155">
        <v>873</v>
      </c>
      <c r="BL35" s="155">
        <v>1214</v>
      </c>
      <c r="BM35" s="156">
        <v>1464</v>
      </c>
      <c r="BN35"/>
      <c r="BO35" s="153" t="s">
        <v>112</v>
      </c>
      <c r="BP35" s="154">
        <v>732</v>
      </c>
      <c r="BQ35" s="155">
        <v>745</v>
      </c>
      <c r="BR35" s="155">
        <v>873</v>
      </c>
      <c r="BS35" s="155">
        <v>1214</v>
      </c>
      <c r="BT35" s="156">
        <v>1464</v>
      </c>
      <c r="BU35"/>
      <c r="BV35" s="153" t="s">
        <v>112</v>
      </c>
      <c r="BW35" s="154">
        <v>732</v>
      </c>
      <c r="BX35" s="155">
        <v>745</v>
      </c>
      <c r="BY35" s="155">
        <v>873</v>
      </c>
      <c r="BZ35" s="155">
        <v>1214</v>
      </c>
      <c r="CA35" s="156">
        <v>1464</v>
      </c>
    </row>
    <row r="36" spans="1:79" x14ac:dyDescent="0.25">
      <c r="A36" s="150" t="s">
        <v>113</v>
      </c>
      <c r="B36" s="496">
        <v>54250</v>
      </c>
      <c r="C36" s="151">
        <v>395</v>
      </c>
      <c r="D36" s="147">
        <v>423</v>
      </c>
      <c r="E36" s="147">
        <v>508</v>
      </c>
      <c r="F36" s="147">
        <v>587</v>
      </c>
      <c r="G36" s="152">
        <v>655</v>
      </c>
      <c r="H36" s="151">
        <v>593</v>
      </c>
      <c r="I36" s="147">
        <v>635</v>
      </c>
      <c r="J36" s="147">
        <v>762</v>
      </c>
      <c r="K36" s="147">
        <v>881</v>
      </c>
      <c r="L36" s="147">
        <v>983</v>
      </c>
      <c r="M36" s="151">
        <v>791</v>
      </c>
      <c r="N36" s="147">
        <v>847</v>
      </c>
      <c r="O36" s="147">
        <v>1017</v>
      </c>
      <c r="P36" s="147">
        <v>1175</v>
      </c>
      <c r="Q36" s="152">
        <v>1311</v>
      </c>
      <c r="R36" s="151">
        <v>988</v>
      </c>
      <c r="S36" s="147">
        <v>1059</v>
      </c>
      <c r="T36" s="147">
        <v>1271</v>
      </c>
      <c r="U36" s="147">
        <v>1469</v>
      </c>
      <c r="V36" s="147">
        <v>1638</v>
      </c>
      <c r="W36" s="151">
        <v>1186</v>
      </c>
      <c r="X36" s="147">
        <v>1271</v>
      </c>
      <c r="Y36" s="147">
        <v>1525</v>
      </c>
      <c r="Z36" s="147">
        <v>1763</v>
      </c>
      <c r="AA36" s="152">
        <v>1966</v>
      </c>
      <c r="AB36" s="151">
        <v>1384</v>
      </c>
      <c r="AC36" s="147">
        <v>1483</v>
      </c>
      <c r="AD36" s="147">
        <v>1779</v>
      </c>
      <c r="AE36" s="147">
        <v>2057</v>
      </c>
      <c r="AF36" s="152">
        <v>2294</v>
      </c>
      <c r="AG36" s="151">
        <v>1582</v>
      </c>
      <c r="AH36" s="147">
        <v>1695</v>
      </c>
      <c r="AI36" s="147">
        <v>2034</v>
      </c>
      <c r="AJ36" s="147">
        <v>2351</v>
      </c>
      <c r="AK36" s="152">
        <v>2622</v>
      </c>
      <c r="AM36" s="151">
        <v>593</v>
      </c>
      <c r="AN36" s="147">
        <v>636</v>
      </c>
      <c r="AO36" s="147">
        <v>763</v>
      </c>
      <c r="AP36" s="147">
        <v>896</v>
      </c>
      <c r="AQ36" s="152">
        <v>1109</v>
      </c>
      <c r="AS36" s="151">
        <v>593</v>
      </c>
      <c r="AT36" s="147">
        <v>635</v>
      </c>
      <c r="AU36" s="147">
        <v>762</v>
      </c>
      <c r="AV36" s="147">
        <v>907</v>
      </c>
      <c r="AW36" s="152">
        <v>1109</v>
      </c>
      <c r="AX36" s="151">
        <v>988</v>
      </c>
      <c r="AY36" s="147">
        <v>1059</v>
      </c>
      <c r="AZ36" s="147">
        <v>1271</v>
      </c>
      <c r="BA36" s="147">
        <v>1469</v>
      </c>
      <c r="BB36" s="152">
        <v>1638</v>
      </c>
      <c r="BC36" s="151">
        <v>1582</v>
      </c>
      <c r="BD36" s="147">
        <v>1695</v>
      </c>
      <c r="BE36" s="147">
        <v>2034</v>
      </c>
      <c r="BF36" s="147">
        <v>2351</v>
      </c>
      <c r="BG36" s="152">
        <v>2622</v>
      </c>
      <c r="BI36" s="151">
        <v>961</v>
      </c>
      <c r="BJ36" s="147">
        <v>1030</v>
      </c>
      <c r="BK36" s="147">
        <v>1175</v>
      </c>
      <c r="BL36" s="147">
        <v>1634</v>
      </c>
      <c r="BM36" s="152">
        <v>1884</v>
      </c>
      <c r="BO36" s="150" t="s">
        <v>113</v>
      </c>
      <c r="BP36" s="151">
        <v>961</v>
      </c>
      <c r="BQ36" s="147">
        <v>1030</v>
      </c>
      <c r="BR36" s="147">
        <v>1175</v>
      </c>
      <c r="BS36" s="147">
        <v>1540</v>
      </c>
      <c r="BT36" s="152">
        <v>1718</v>
      </c>
      <c r="BV36" s="150" t="s">
        <v>113</v>
      </c>
      <c r="BW36" s="151">
        <v>961</v>
      </c>
      <c r="BX36" s="147">
        <v>1030</v>
      </c>
      <c r="BY36" s="147">
        <v>1175</v>
      </c>
      <c r="BZ36" s="147">
        <v>1634</v>
      </c>
      <c r="CA36" s="152">
        <v>1884</v>
      </c>
    </row>
    <row r="37" spans="1:79" s="157" customFormat="1" x14ac:dyDescent="0.25">
      <c r="A37" s="153" t="s">
        <v>114</v>
      </c>
      <c r="B37" s="497">
        <v>50750</v>
      </c>
      <c r="C37" s="154">
        <v>375</v>
      </c>
      <c r="D37" s="155">
        <v>401</v>
      </c>
      <c r="E37" s="155">
        <v>482</v>
      </c>
      <c r="F37" s="155">
        <v>557</v>
      </c>
      <c r="G37" s="156">
        <v>621</v>
      </c>
      <c r="H37" s="154">
        <v>562</v>
      </c>
      <c r="I37" s="155">
        <v>602</v>
      </c>
      <c r="J37" s="155">
        <v>723</v>
      </c>
      <c r="K37" s="155">
        <v>835</v>
      </c>
      <c r="L37" s="155">
        <v>932</v>
      </c>
      <c r="M37" s="154">
        <v>750</v>
      </c>
      <c r="N37" s="155">
        <v>803</v>
      </c>
      <c r="O37" s="155">
        <v>964</v>
      </c>
      <c r="P37" s="155">
        <v>1114</v>
      </c>
      <c r="Q37" s="156">
        <v>1243</v>
      </c>
      <c r="R37" s="154">
        <v>937</v>
      </c>
      <c r="S37" s="155">
        <v>1004</v>
      </c>
      <c r="T37" s="155">
        <v>1205</v>
      </c>
      <c r="U37" s="155">
        <v>1392</v>
      </c>
      <c r="V37" s="155">
        <v>1553</v>
      </c>
      <c r="W37" s="154">
        <v>1125</v>
      </c>
      <c r="X37" s="155">
        <v>1205</v>
      </c>
      <c r="Y37" s="155">
        <v>1446</v>
      </c>
      <c r="Z37" s="155">
        <v>1671</v>
      </c>
      <c r="AA37" s="156">
        <v>1864</v>
      </c>
      <c r="AB37" s="154">
        <v>1312</v>
      </c>
      <c r="AC37" s="155">
        <v>1406</v>
      </c>
      <c r="AD37" s="155">
        <v>1687</v>
      </c>
      <c r="AE37" s="155">
        <v>1949</v>
      </c>
      <c r="AF37" s="156">
        <v>2175</v>
      </c>
      <c r="AG37" s="154">
        <v>1500</v>
      </c>
      <c r="AH37" s="155">
        <v>1607</v>
      </c>
      <c r="AI37" s="155">
        <v>1928</v>
      </c>
      <c r="AJ37" s="155">
        <v>2228</v>
      </c>
      <c r="AK37" s="156">
        <v>2486</v>
      </c>
      <c r="AL37"/>
      <c r="AM37" s="154">
        <v>563</v>
      </c>
      <c r="AN37" s="155">
        <v>603</v>
      </c>
      <c r="AO37" s="155">
        <v>723</v>
      </c>
      <c r="AP37" s="155">
        <v>896</v>
      </c>
      <c r="AQ37" s="156">
        <v>1109</v>
      </c>
      <c r="AR37"/>
      <c r="AS37" s="154">
        <v>562</v>
      </c>
      <c r="AT37" s="155">
        <v>602</v>
      </c>
      <c r="AU37" s="155">
        <v>723</v>
      </c>
      <c r="AV37" s="155">
        <v>896</v>
      </c>
      <c r="AW37" s="156">
        <v>1109</v>
      </c>
      <c r="AX37" s="154">
        <v>937</v>
      </c>
      <c r="AY37" s="155">
        <v>1004</v>
      </c>
      <c r="AZ37" s="155">
        <v>1205</v>
      </c>
      <c r="BA37" s="155">
        <v>1392</v>
      </c>
      <c r="BB37" s="156">
        <v>1553</v>
      </c>
      <c r="BC37" s="154">
        <v>1500</v>
      </c>
      <c r="BD37" s="155">
        <v>1607</v>
      </c>
      <c r="BE37" s="155">
        <v>1928</v>
      </c>
      <c r="BF37" s="155">
        <v>2228</v>
      </c>
      <c r="BG37" s="156">
        <v>2486</v>
      </c>
      <c r="BH37"/>
      <c r="BI37" s="154">
        <v>760</v>
      </c>
      <c r="BJ37" s="155">
        <v>791</v>
      </c>
      <c r="BK37" s="155">
        <v>873</v>
      </c>
      <c r="BL37" s="155">
        <v>1214</v>
      </c>
      <c r="BM37" s="156">
        <v>1464</v>
      </c>
      <c r="BN37"/>
      <c r="BO37" s="153" t="s">
        <v>114</v>
      </c>
      <c r="BP37" s="154">
        <v>760</v>
      </c>
      <c r="BQ37" s="155">
        <v>791</v>
      </c>
      <c r="BR37" s="155">
        <v>873</v>
      </c>
      <c r="BS37" s="155">
        <v>1214</v>
      </c>
      <c r="BT37" s="156">
        <v>1464</v>
      </c>
      <c r="BU37"/>
      <c r="BV37" s="153" t="s">
        <v>114</v>
      </c>
      <c r="BW37" s="154">
        <v>760</v>
      </c>
      <c r="BX37" s="155">
        <v>791</v>
      </c>
      <c r="BY37" s="155">
        <v>873</v>
      </c>
      <c r="BZ37" s="155">
        <v>1214</v>
      </c>
      <c r="CA37" s="156">
        <v>1464</v>
      </c>
    </row>
    <row r="38" spans="1:79" x14ac:dyDescent="0.25">
      <c r="A38" s="150" t="s">
        <v>115</v>
      </c>
      <c r="B38" s="496">
        <v>51850</v>
      </c>
      <c r="C38" s="151">
        <v>375</v>
      </c>
      <c r="D38" s="147">
        <v>401</v>
      </c>
      <c r="E38" s="147">
        <v>482</v>
      </c>
      <c r="F38" s="147">
        <v>557</v>
      </c>
      <c r="G38" s="152">
        <v>621</v>
      </c>
      <c r="H38" s="151">
        <v>562</v>
      </c>
      <c r="I38" s="147">
        <v>602</v>
      </c>
      <c r="J38" s="147">
        <v>723</v>
      </c>
      <c r="K38" s="147">
        <v>835</v>
      </c>
      <c r="L38" s="147">
        <v>932</v>
      </c>
      <c r="M38" s="151">
        <v>750</v>
      </c>
      <c r="N38" s="147">
        <v>803</v>
      </c>
      <c r="O38" s="147">
        <v>964</v>
      </c>
      <c r="P38" s="147">
        <v>1114</v>
      </c>
      <c r="Q38" s="152">
        <v>1243</v>
      </c>
      <c r="R38" s="151">
        <v>937</v>
      </c>
      <c r="S38" s="147">
        <v>1004</v>
      </c>
      <c r="T38" s="147">
        <v>1205</v>
      </c>
      <c r="U38" s="147">
        <v>1392</v>
      </c>
      <c r="V38" s="147">
        <v>1553</v>
      </c>
      <c r="W38" s="151">
        <v>1125</v>
      </c>
      <c r="X38" s="147">
        <v>1205</v>
      </c>
      <c r="Y38" s="147">
        <v>1446</v>
      </c>
      <c r="Z38" s="147">
        <v>1671</v>
      </c>
      <c r="AA38" s="152">
        <v>1864</v>
      </c>
      <c r="AB38" s="151">
        <v>1312</v>
      </c>
      <c r="AC38" s="147">
        <v>1406</v>
      </c>
      <c r="AD38" s="147">
        <v>1687</v>
      </c>
      <c r="AE38" s="147">
        <v>1949</v>
      </c>
      <c r="AF38" s="152">
        <v>2175</v>
      </c>
      <c r="AG38" s="151">
        <v>1500</v>
      </c>
      <c r="AH38" s="147">
        <v>1607</v>
      </c>
      <c r="AI38" s="147">
        <v>1928</v>
      </c>
      <c r="AJ38" s="147">
        <v>2228</v>
      </c>
      <c r="AK38" s="152">
        <v>2486</v>
      </c>
      <c r="AM38" s="151">
        <v>563</v>
      </c>
      <c r="AN38" s="147">
        <v>603</v>
      </c>
      <c r="AO38" s="147">
        <v>723</v>
      </c>
      <c r="AP38" s="147">
        <v>896</v>
      </c>
      <c r="AQ38" s="152">
        <v>1109</v>
      </c>
      <c r="AS38" s="151">
        <v>562</v>
      </c>
      <c r="AT38" s="147">
        <v>602</v>
      </c>
      <c r="AU38" s="147">
        <v>723</v>
      </c>
      <c r="AV38" s="147">
        <v>896</v>
      </c>
      <c r="AW38" s="152">
        <v>1109</v>
      </c>
      <c r="AX38" s="151">
        <v>937</v>
      </c>
      <c r="AY38" s="147">
        <v>1004</v>
      </c>
      <c r="AZ38" s="147">
        <v>1205</v>
      </c>
      <c r="BA38" s="147">
        <v>1392</v>
      </c>
      <c r="BB38" s="152">
        <v>1553</v>
      </c>
      <c r="BC38" s="151">
        <v>1500</v>
      </c>
      <c r="BD38" s="147">
        <v>1607</v>
      </c>
      <c r="BE38" s="147">
        <v>1928</v>
      </c>
      <c r="BF38" s="147">
        <v>2228</v>
      </c>
      <c r="BG38" s="152">
        <v>2486</v>
      </c>
      <c r="BI38" s="151">
        <v>727</v>
      </c>
      <c r="BJ38" s="147">
        <v>755</v>
      </c>
      <c r="BK38" s="147">
        <v>873</v>
      </c>
      <c r="BL38" s="147">
        <v>1214</v>
      </c>
      <c r="BM38" s="152">
        <v>1464</v>
      </c>
      <c r="BO38" s="150" t="s">
        <v>115</v>
      </c>
      <c r="BP38" s="151">
        <v>727</v>
      </c>
      <c r="BQ38" s="147">
        <v>755</v>
      </c>
      <c r="BR38" s="147">
        <v>873</v>
      </c>
      <c r="BS38" s="147">
        <v>1214</v>
      </c>
      <c r="BT38" s="152">
        <v>1464</v>
      </c>
      <c r="BV38" s="150" t="s">
        <v>115</v>
      </c>
      <c r="BW38" s="151">
        <v>727</v>
      </c>
      <c r="BX38" s="147">
        <v>755</v>
      </c>
      <c r="BY38" s="147">
        <v>873</v>
      </c>
      <c r="BZ38" s="147">
        <v>1214</v>
      </c>
      <c r="CA38" s="152">
        <v>1464</v>
      </c>
    </row>
    <row r="39" spans="1:79" s="157" customFormat="1" x14ac:dyDescent="0.25">
      <c r="A39" s="153" t="s">
        <v>116</v>
      </c>
      <c r="B39" s="497">
        <v>50750</v>
      </c>
      <c r="C39" s="154">
        <v>375</v>
      </c>
      <c r="D39" s="155">
        <v>401</v>
      </c>
      <c r="E39" s="155">
        <v>482</v>
      </c>
      <c r="F39" s="155">
        <v>557</v>
      </c>
      <c r="G39" s="156">
        <v>621</v>
      </c>
      <c r="H39" s="154">
        <v>562</v>
      </c>
      <c r="I39" s="155">
        <v>602</v>
      </c>
      <c r="J39" s="155">
        <v>723</v>
      </c>
      <c r="K39" s="155">
        <v>835</v>
      </c>
      <c r="L39" s="155">
        <v>932</v>
      </c>
      <c r="M39" s="154">
        <v>750</v>
      </c>
      <c r="N39" s="155">
        <v>803</v>
      </c>
      <c r="O39" s="155">
        <v>964</v>
      </c>
      <c r="P39" s="155">
        <v>1114</v>
      </c>
      <c r="Q39" s="156">
        <v>1243</v>
      </c>
      <c r="R39" s="154">
        <v>937</v>
      </c>
      <c r="S39" s="155">
        <v>1004</v>
      </c>
      <c r="T39" s="155">
        <v>1205</v>
      </c>
      <c r="U39" s="155">
        <v>1392</v>
      </c>
      <c r="V39" s="155">
        <v>1553</v>
      </c>
      <c r="W39" s="154">
        <v>1125</v>
      </c>
      <c r="X39" s="155">
        <v>1205</v>
      </c>
      <c r="Y39" s="155">
        <v>1446</v>
      </c>
      <c r="Z39" s="155">
        <v>1671</v>
      </c>
      <c r="AA39" s="156">
        <v>1864</v>
      </c>
      <c r="AB39" s="154">
        <v>1312</v>
      </c>
      <c r="AC39" s="155">
        <v>1406</v>
      </c>
      <c r="AD39" s="155">
        <v>1687</v>
      </c>
      <c r="AE39" s="155">
        <v>1949</v>
      </c>
      <c r="AF39" s="156">
        <v>2175</v>
      </c>
      <c r="AG39" s="154">
        <v>1500</v>
      </c>
      <c r="AH39" s="155">
        <v>1607</v>
      </c>
      <c r="AI39" s="155">
        <v>1928</v>
      </c>
      <c r="AJ39" s="155">
        <v>2228</v>
      </c>
      <c r="AK39" s="156">
        <v>2486</v>
      </c>
      <c r="AL39"/>
      <c r="AM39" s="154">
        <v>563</v>
      </c>
      <c r="AN39" s="155">
        <v>603</v>
      </c>
      <c r="AO39" s="155">
        <v>723</v>
      </c>
      <c r="AP39" s="155">
        <v>896</v>
      </c>
      <c r="AQ39" s="156">
        <v>1109</v>
      </c>
      <c r="AR39"/>
      <c r="AS39" s="154">
        <v>562</v>
      </c>
      <c r="AT39" s="155">
        <v>602</v>
      </c>
      <c r="AU39" s="155">
        <v>723</v>
      </c>
      <c r="AV39" s="155">
        <v>896</v>
      </c>
      <c r="AW39" s="156">
        <v>1109</v>
      </c>
      <c r="AX39" s="154">
        <v>937</v>
      </c>
      <c r="AY39" s="155">
        <v>1004</v>
      </c>
      <c r="AZ39" s="155">
        <v>1205</v>
      </c>
      <c r="BA39" s="155">
        <v>1392</v>
      </c>
      <c r="BB39" s="156">
        <v>1553</v>
      </c>
      <c r="BC39" s="154">
        <v>1500</v>
      </c>
      <c r="BD39" s="155">
        <v>1607</v>
      </c>
      <c r="BE39" s="155">
        <v>1928</v>
      </c>
      <c r="BF39" s="155">
        <v>2228</v>
      </c>
      <c r="BG39" s="156">
        <v>2486</v>
      </c>
      <c r="BH39"/>
      <c r="BI39" s="154">
        <v>602</v>
      </c>
      <c r="BJ39" s="155">
        <v>719</v>
      </c>
      <c r="BK39" s="155">
        <v>873</v>
      </c>
      <c r="BL39" s="155">
        <v>1214</v>
      </c>
      <c r="BM39" s="156">
        <v>1464</v>
      </c>
      <c r="BN39"/>
      <c r="BO39" s="153" t="s">
        <v>116</v>
      </c>
      <c r="BP39" s="154">
        <v>602</v>
      </c>
      <c r="BQ39" s="155">
        <v>719</v>
      </c>
      <c r="BR39" s="155">
        <v>873</v>
      </c>
      <c r="BS39" s="155">
        <v>1214</v>
      </c>
      <c r="BT39" s="156">
        <v>1464</v>
      </c>
      <c r="BU39"/>
      <c r="BV39" s="153" t="s">
        <v>116</v>
      </c>
      <c r="BW39" s="154">
        <v>602</v>
      </c>
      <c r="BX39" s="155">
        <v>719</v>
      </c>
      <c r="BY39" s="155">
        <v>873</v>
      </c>
      <c r="BZ39" s="155">
        <v>1214</v>
      </c>
      <c r="CA39" s="156">
        <v>1464</v>
      </c>
    </row>
    <row r="40" spans="1:79" x14ac:dyDescent="0.25">
      <c r="A40" s="150" t="s">
        <v>117</v>
      </c>
      <c r="B40" s="496">
        <v>50750</v>
      </c>
      <c r="C40" s="151">
        <v>375</v>
      </c>
      <c r="D40" s="147">
        <v>401</v>
      </c>
      <c r="E40" s="147">
        <v>482</v>
      </c>
      <c r="F40" s="147">
        <v>557</v>
      </c>
      <c r="G40" s="152">
        <v>621</v>
      </c>
      <c r="H40" s="151">
        <v>562</v>
      </c>
      <c r="I40" s="147">
        <v>602</v>
      </c>
      <c r="J40" s="147">
        <v>723</v>
      </c>
      <c r="K40" s="147">
        <v>835</v>
      </c>
      <c r="L40" s="147">
        <v>932</v>
      </c>
      <c r="M40" s="151">
        <v>750</v>
      </c>
      <c r="N40" s="147">
        <v>803</v>
      </c>
      <c r="O40" s="147">
        <v>964</v>
      </c>
      <c r="P40" s="147">
        <v>1114</v>
      </c>
      <c r="Q40" s="152">
        <v>1243</v>
      </c>
      <c r="R40" s="151">
        <v>937</v>
      </c>
      <c r="S40" s="147">
        <v>1004</v>
      </c>
      <c r="T40" s="147">
        <v>1205</v>
      </c>
      <c r="U40" s="147">
        <v>1392</v>
      </c>
      <c r="V40" s="147">
        <v>1553</v>
      </c>
      <c r="W40" s="151">
        <v>1125</v>
      </c>
      <c r="X40" s="147">
        <v>1205</v>
      </c>
      <c r="Y40" s="147">
        <v>1446</v>
      </c>
      <c r="Z40" s="147">
        <v>1671</v>
      </c>
      <c r="AA40" s="152">
        <v>1864</v>
      </c>
      <c r="AB40" s="151">
        <v>1312</v>
      </c>
      <c r="AC40" s="147">
        <v>1406</v>
      </c>
      <c r="AD40" s="147">
        <v>1687</v>
      </c>
      <c r="AE40" s="147">
        <v>1949</v>
      </c>
      <c r="AF40" s="152">
        <v>2175</v>
      </c>
      <c r="AG40" s="151">
        <v>1500</v>
      </c>
      <c r="AH40" s="147">
        <v>1607</v>
      </c>
      <c r="AI40" s="147">
        <v>1928</v>
      </c>
      <c r="AJ40" s="147">
        <v>2228</v>
      </c>
      <c r="AK40" s="152">
        <v>2486</v>
      </c>
      <c r="AM40" s="151">
        <v>563</v>
      </c>
      <c r="AN40" s="147">
        <v>603</v>
      </c>
      <c r="AO40" s="147">
        <v>723</v>
      </c>
      <c r="AP40" s="147">
        <v>896</v>
      </c>
      <c r="AQ40" s="152">
        <v>1109</v>
      </c>
      <c r="AS40" s="151">
        <v>562</v>
      </c>
      <c r="AT40" s="147">
        <v>602</v>
      </c>
      <c r="AU40" s="147">
        <v>723</v>
      </c>
      <c r="AV40" s="147">
        <v>896</v>
      </c>
      <c r="AW40" s="152">
        <v>1109</v>
      </c>
      <c r="AX40" s="151">
        <v>937</v>
      </c>
      <c r="AY40" s="147">
        <v>1004</v>
      </c>
      <c r="AZ40" s="147">
        <v>1205</v>
      </c>
      <c r="BA40" s="147">
        <v>1392</v>
      </c>
      <c r="BB40" s="152">
        <v>1553</v>
      </c>
      <c r="BC40" s="151">
        <v>1500</v>
      </c>
      <c r="BD40" s="147">
        <v>1607</v>
      </c>
      <c r="BE40" s="147">
        <v>1928</v>
      </c>
      <c r="BF40" s="147">
        <v>2228</v>
      </c>
      <c r="BG40" s="152">
        <v>2486</v>
      </c>
      <c r="BI40" s="151">
        <v>710</v>
      </c>
      <c r="BJ40" s="147">
        <v>715</v>
      </c>
      <c r="BK40" s="147">
        <v>923</v>
      </c>
      <c r="BL40" s="147">
        <v>1196</v>
      </c>
      <c r="BM40" s="152">
        <v>1548</v>
      </c>
      <c r="BO40" s="150" t="s">
        <v>117</v>
      </c>
      <c r="BP40" s="151">
        <v>710</v>
      </c>
      <c r="BQ40" s="147">
        <v>715</v>
      </c>
      <c r="BR40" s="147">
        <v>923</v>
      </c>
      <c r="BS40" s="147">
        <v>1196</v>
      </c>
      <c r="BT40" s="152">
        <v>1548</v>
      </c>
      <c r="BV40" s="150" t="s">
        <v>117</v>
      </c>
      <c r="BW40" s="151">
        <v>710</v>
      </c>
      <c r="BX40" s="147">
        <v>715</v>
      </c>
      <c r="BY40" s="147">
        <v>923</v>
      </c>
      <c r="BZ40" s="147">
        <v>1196</v>
      </c>
      <c r="CA40" s="152">
        <v>1548</v>
      </c>
    </row>
    <row r="41" spans="1:79" s="157" customFormat="1" x14ac:dyDescent="0.25">
      <c r="A41" s="153" t="s">
        <v>118</v>
      </c>
      <c r="B41" s="497">
        <v>50750</v>
      </c>
      <c r="C41" s="154">
        <v>375</v>
      </c>
      <c r="D41" s="155">
        <v>401</v>
      </c>
      <c r="E41" s="155">
        <v>482</v>
      </c>
      <c r="F41" s="155">
        <v>557</v>
      </c>
      <c r="G41" s="156">
        <v>621</v>
      </c>
      <c r="H41" s="154">
        <v>562</v>
      </c>
      <c r="I41" s="155">
        <v>602</v>
      </c>
      <c r="J41" s="155">
        <v>723</v>
      </c>
      <c r="K41" s="155">
        <v>835</v>
      </c>
      <c r="L41" s="155">
        <v>932</v>
      </c>
      <c r="M41" s="154">
        <v>750</v>
      </c>
      <c r="N41" s="155">
        <v>803</v>
      </c>
      <c r="O41" s="155">
        <v>964</v>
      </c>
      <c r="P41" s="155">
        <v>1114</v>
      </c>
      <c r="Q41" s="156">
        <v>1243</v>
      </c>
      <c r="R41" s="154">
        <v>937</v>
      </c>
      <c r="S41" s="155">
        <v>1004</v>
      </c>
      <c r="T41" s="155">
        <v>1205</v>
      </c>
      <c r="U41" s="155">
        <v>1392</v>
      </c>
      <c r="V41" s="155">
        <v>1553</v>
      </c>
      <c r="W41" s="154">
        <v>1125</v>
      </c>
      <c r="X41" s="155">
        <v>1205</v>
      </c>
      <c r="Y41" s="155">
        <v>1446</v>
      </c>
      <c r="Z41" s="155">
        <v>1671</v>
      </c>
      <c r="AA41" s="156">
        <v>1864</v>
      </c>
      <c r="AB41" s="154">
        <v>1312</v>
      </c>
      <c r="AC41" s="155">
        <v>1406</v>
      </c>
      <c r="AD41" s="155">
        <v>1687</v>
      </c>
      <c r="AE41" s="155">
        <v>1949</v>
      </c>
      <c r="AF41" s="156">
        <v>2175</v>
      </c>
      <c r="AG41" s="154">
        <v>1500</v>
      </c>
      <c r="AH41" s="155">
        <v>1607</v>
      </c>
      <c r="AI41" s="155">
        <v>1928</v>
      </c>
      <c r="AJ41" s="155">
        <v>2228</v>
      </c>
      <c r="AK41" s="156">
        <v>2486</v>
      </c>
      <c r="AL41"/>
      <c r="AM41" s="154">
        <v>563</v>
      </c>
      <c r="AN41" s="155">
        <v>603</v>
      </c>
      <c r="AO41" s="155">
        <v>723</v>
      </c>
      <c r="AP41" s="155">
        <v>896</v>
      </c>
      <c r="AQ41" s="156">
        <v>1109</v>
      </c>
      <c r="AR41"/>
      <c r="AS41" s="154">
        <v>562</v>
      </c>
      <c r="AT41" s="155">
        <v>602</v>
      </c>
      <c r="AU41" s="155">
        <v>723</v>
      </c>
      <c r="AV41" s="155">
        <v>896</v>
      </c>
      <c r="AW41" s="156">
        <v>1109</v>
      </c>
      <c r="AX41" s="154">
        <v>937</v>
      </c>
      <c r="AY41" s="155">
        <v>1004</v>
      </c>
      <c r="AZ41" s="155">
        <v>1205</v>
      </c>
      <c r="BA41" s="155">
        <v>1392</v>
      </c>
      <c r="BB41" s="156">
        <v>1553</v>
      </c>
      <c r="BC41" s="154">
        <v>1500</v>
      </c>
      <c r="BD41" s="155">
        <v>1607</v>
      </c>
      <c r="BE41" s="155">
        <v>1928</v>
      </c>
      <c r="BF41" s="155">
        <v>2228</v>
      </c>
      <c r="BG41" s="156">
        <v>2486</v>
      </c>
      <c r="BH41"/>
      <c r="BI41" s="154">
        <v>783</v>
      </c>
      <c r="BJ41" s="155">
        <v>824</v>
      </c>
      <c r="BK41" s="155">
        <v>1081</v>
      </c>
      <c r="BL41" s="155">
        <v>1329</v>
      </c>
      <c r="BM41" s="156">
        <v>1557</v>
      </c>
      <c r="BN41"/>
      <c r="BO41" s="153" t="s">
        <v>118</v>
      </c>
      <c r="BP41" s="154">
        <v>783</v>
      </c>
      <c r="BQ41" s="155">
        <v>824</v>
      </c>
      <c r="BR41" s="155">
        <v>1081</v>
      </c>
      <c r="BS41" s="155">
        <v>1329</v>
      </c>
      <c r="BT41" s="156">
        <v>1553</v>
      </c>
      <c r="BU41"/>
      <c r="BV41" s="153" t="s">
        <v>118</v>
      </c>
      <c r="BW41" s="154">
        <v>783</v>
      </c>
      <c r="BX41" s="155">
        <v>824</v>
      </c>
      <c r="BY41" s="155">
        <v>1081</v>
      </c>
      <c r="BZ41" s="155">
        <v>1329</v>
      </c>
      <c r="CA41" s="156">
        <v>1557</v>
      </c>
    </row>
    <row r="42" spans="1:79" x14ac:dyDescent="0.25">
      <c r="A42" s="150" t="s">
        <v>119</v>
      </c>
      <c r="B42" s="496">
        <v>52200</v>
      </c>
      <c r="C42" s="151">
        <v>378</v>
      </c>
      <c r="D42" s="147">
        <v>405</v>
      </c>
      <c r="E42" s="147">
        <v>486</v>
      </c>
      <c r="F42" s="147">
        <v>561</v>
      </c>
      <c r="G42" s="152">
        <v>626</v>
      </c>
      <c r="H42" s="151">
        <v>567</v>
      </c>
      <c r="I42" s="147">
        <v>607</v>
      </c>
      <c r="J42" s="147">
        <v>729</v>
      </c>
      <c r="K42" s="147">
        <v>842</v>
      </c>
      <c r="L42" s="147">
        <v>939</v>
      </c>
      <c r="M42" s="151">
        <v>756</v>
      </c>
      <c r="N42" s="147">
        <v>810</v>
      </c>
      <c r="O42" s="147">
        <v>972</v>
      </c>
      <c r="P42" s="147">
        <v>1123</v>
      </c>
      <c r="Q42" s="152">
        <v>1253</v>
      </c>
      <c r="R42" s="151">
        <v>945</v>
      </c>
      <c r="S42" s="147">
        <v>1012</v>
      </c>
      <c r="T42" s="147">
        <v>1215</v>
      </c>
      <c r="U42" s="147">
        <v>1404</v>
      </c>
      <c r="V42" s="147">
        <v>1566</v>
      </c>
      <c r="W42" s="151">
        <v>1134</v>
      </c>
      <c r="X42" s="147">
        <v>1215</v>
      </c>
      <c r="Y42" s="147">
        <v>1458</v>
      </c>
      <c r="Z42" s="147">
        <v>1685</v>
      </c>
      <c r="AA42" s="152">
        <v>1879</v>
      </c>
      <c r="AB42" s="151">
        <v>1323</v>
      </c>
      <c r="AC42" s="147">
        <v>1417</v>
      </c>
      <c r="AD42" s="147">
        <v>1701</v>
      </c>
      <c r="AE42" s="147">
        <v>1966</v>
      </c>
      <c r="AF42" s="152">
        <v>2192</v>
      </c>
      <c r="AG42" s="151">
        <v>1512</v>
      </c>
      <c r="AH42" s="147">
        <v>1620</v>
      </c>
      <c r="AI42" s="147">
        <v>1944</v>
      </c>
      <c r="AJ42" s="147">
        <v>2247</v>
      </c>
      <c r="AK42" s="152">
        <v>2506</v>
      </c>
      <c r="AM42" s="151">
        <v>567</v>
      </c>
      <c r="AN42" s="147">
        <v>608</v>
      </c>
      <c r="AO42" s="147">
        <v>730</v>
      </c>
      <c r="AP42" s="147">
        <v>896</v>
      </c>
      <c r="AQ42" s="152">
        <v>1109</v>
      </c>
      <c r="AS42" s="151">
        <v>567</v>
      </c>
      <c r="AT42" s="147">
        <v>607</v>
      </c>
      <c r="AU42" s="147">
        <v>729</v>
      </c>
      <c r="AV42" s="147">
        <v>896</v>
      </c>
      <c r="AW42" s="152">
        <v>1109</v>
      </c>
      <c r="AX42" s="151">
        <v>945</v>
      </c>
      <c r="AY42" s="147">
        <v>1012</v>
      </c>
      <c r="AZ42" s="147">
        <v>1215</v>
      </c>
      <c r="BA42" s="147">
        <v>1404</v>
      </c>
      <c r="BB42" s="152">
        <v>1566</v>
      </c>
      <c r="BC42" s="151">
        <v>1512</v>
      </c>
      <c r="BD42" s="147">
        <v>1620</v>
      </c>
      <c r="BE42" s="147">
        <v>1944</v>
      </c>
      <c r="BF42" s="147">
        <v>2247</v>
      </c>
      <c r="BG42" s="152">
        <v>2506</v>
      </c>
      <c r="BI42" s="151">
        <v>661</v>
      </c>
      <c r="BJ42" s="147">
        <v>665</v>
      </c>
      <c r="BK42" s="147">
        <v>873</v>
      </c>
      <c r="BL42" s="147">
        <v>1214</v>
      </c>
      <c r="BM42" s="152">
        <v>1464</v>
      </c>
      <c r="BO42" s="150" t="s">
        <v>119</v>
      </c>
      <c r="BP42" s="151">
        <v>661</v>
      </c>
      <c r="BQ42" s="147">
        <v>665</v>
      </c>
      <c r="BR42" s="147">
        <v>873</v>
      </c>
      <c r="BS42" s="147">
        <v>1214</v>
      </c>
      <c r="BT42" s="152">
        <v>1464</v>
      </c>
      <c r="BV42" s="150" t="s">
        <v>119</v>
      </c>
      <c r="BW42" s="151">
        <v>661</v>
      </c>
      <c r="BX42" s="147">
        <v>665</v>
      </c>
      <c r="BY42" s="147">
        <v>873</v>
      </c>
      <c r="BZ42" s="147">
        <v>1214</v>
      </c>
      <c r="CA42" s="152">
        <v>1464</v>
      </c>
    </row>
    <row r="43" spans="1:79" s="157" customFormat="1" x14ac:dyDescent="0.25">
      <c r="A43" s="153" t="s">
        <v>120</v>
      </c>
      <c r="B43" s="497">
        <v>50750</v>
      </c>
      <c r="C43" s="154">
        <v>375</v>
      </c>
      <c r="D43" s="155">
        <v>401</v>
      </c>
      <c r="E43" s="155">
        <v>482</v>
      </c>
      <c r="F43" s="155">
        <v>557</v>
      </c>
      <c r="G43" s="156">
        <v>621</v>
      </c>
      <c r="H43" s="154">
        <v>562</v>
      </c>
      <c r="I43" s="155">
        <v>602</v>
      </c>
      <c r="J43" s="155">
        <v>723</v>
      </c>
      <c r="K43" s="155">
        <v>835</v>
      </c>
      <c r="L43" s="155">
        <v>932</v>
      </c>
      <c r="M43" s="154">
        <v>750</v>
      </c>
      <c r="N43" s="155">
        <v>803</v>
      </c>
      <c r="O43" s="155">
        <v>964</v>
      </c>
      <c r="P43" s="155">
        <v>1114</v>
      </c>
      <c r="Q43" s="156">
        <v>1243</v>
      </c>
      <c r="R43" s="154">
        <v>937</v>
      </c>
      <c r="S43" s="155">
        <v>1004</v>
      </c>
      <c r="T43" s="155">
        <v>1205</v>
      </c>
      <c r="U43" s="155">
        <v>1392</v>
      </c>
      <c r="V43" s="155">
        <v>1553</v>
      </c>
      <c r="W43" s="154">
        <v>1125</v>
      </c>
      <c r="X43" s="155">
        <v>1205</v>
      </c>
      <c r="Y43" s="155">
        <v>1446</v>
      </c>
      <c r="Z43" s="155">
        <v>1671</v>
      </c>
      <c r="AA43" s="156">
        <v>1864</v>
      </c>
      <c r="AB43" s="154">
        <v>1312</v>
      </c>
      <c r="AC43" s="155">
        <v>1406</v>
      </c>
      <c r="AD43" s="155">
        <v>1687</v>
      </c>
      <c r="AE43" s="155">
        <v>1949</v>
      </c>
      <c r="AF43" s="156">
        <v>2175</v>
      </c>
      <c r="AG43" s="154">
        <v>1500</v>
      </c>
      <c r="AH43" s="155">
        <v>1607</v>
      </c>
      <c r="AI43" s="155">
        <v>1928</v>
      </c>
      <c r="AJ43" s="155">
        <v>2228</v>
      </c>
      <c r="AK43" s="156">
        <v>2486</v>
      </c>
      <c r="AL43"/>
      <c r="AM43" s="154">
        <v>563</v>
      </c>
      <c r="AN43" s="155">
        <v>603</v>
      </c>
      <c r="AO43" s="155">
        <v>723</v>
      </c>
      <c r="AP43" s="155">
        <v>896</v>
      </c>
      <c r="AQ43" s="156">
        <v>1109</v>
      </c>
      <c r="AR43"/>
      <c r="AS43" s="154">
        <v>562</v>
      </c>
      <c r="AT43" s="155">
        <v>602</v>
      </c>
      <c r="AU43" s="155">
        <v>723</v>
      </c>
      <c r="AV43" s="155">
        <v>896</v>
      </c>
      <c r="AW43" s="156">
        <v>1109</v>
      </c>
      <c r="AX43" s="154">
        <v>937</v>
      </c>
      <c r="AY43" s="155">
        <v>1004</v>
      </c>
      <c r="AZ43" s="155">
        <v>1205</v>
      </c>
      <c r="BA43" s="155">
        <v>1392</v>
      </c>
      <c r="BB43" s="156">
        <v>1553</v>
      </c>
      <c r="BC43" s="154">
        <v>1500</v>
      </c>
      <c r="BD43" s="155">
        <v>1607</v>
      </c>
      <c r="BE43" s="155">
        <v>1928</v>
      </c>
      <c r="BF43" s="155">
        <v>2228</v>
      </c>
      <c r="BG43" s="156">
        <v>2486</v>
      </c>
      <c r="BH43"/>
      <c r="BI43" s="154">
        <v>722</v>
      </c>
      <c r="BJ43" s="155">
        <v>727</v>
      </c>
      <c r="BK43" s="155">
        <v>954</v>
      </c>
      <c r="BL43" s="155">
        <v>1318</v>
      </c>
      <c r="BM43" s="156">
        <v>1600</v>
      </c>
      <c r="BN43"/>
      <c r="BO43" s="153" t="s">
        <v>120</v>
      </c>
      <c r="BP43" s="154">
        <v>722</v>
      </c>
      <c r="BQ43" s="155">
        <v>727</v>
      </c>
      <c r="BR43" s="155">
        <v>954</v>
      </c>
      <c r="BS43" s="155">
        <v>1318</v>
      </c>
      <c r="BT43" s="156">
        <v>1553</v>
      </c>
      <c r="BU43"/>
      <c r="BV43" s="153" t="s">
        <v>120</v>
      </c>
      <c r="BW43" s="154">
        <v>722</v>
      </c>
      <c r="BX43" s="155">
        <v>727</v>
      </c>
      <c r="BY43" s="155">
        <v>954</v>
      </c>
      <c r="BZ43" s="155">
        <v>1318</v>
      </c>
      <c r="CA43" s="156">
        <v>1600</v>
      </c>
    </row>
    <row r="44" spans="1:79" x14ac:dyDescent="0.25">
      <c r="A44" s="150" t="s">
        <v>121</v>
      </c>
      <c r="B44" s="496">
        <v>50750</v>
      </c>
      <c r="C44" s="151">
        <v>375</v>
      </c>
      <c r="D44" s="147">
        <v>401</v>
      </c>
      <c r="E44" s="147">
        <v>482</v>
      </c>
      <c r="F44" s="147">
        <v>557</v>
      </c>
      <c r="G44" s="152">
        <v>621</v>
      </c>
      <c r="H44" s="151">
        <v>562</v>
      </c>
      <c r="I44" s="147">
        <v>602</v>
      </c>
      <c r="J44" s="147">
        <v>723</v>
      </c>
      <c r="K44" s="147">
        <v>835</v>
      </c>
      <c r="L44" s="147">
        <v>932</v>
      </c>
      <c r="M44" s="151">
        <v>750</v>
      </c>
      <c r="N44" s="147">
        <v>803</v>
      </c>
      <c r="O44" s="147">
        <v>964</v>
      </c>
      <c r="P44" s="147">
        <v>1114</v>
      </c>
      <c r="Q44" s="152">
        <v>1243</v>
      </c>
      <c r="R44" s="151">
        <v>937</v>
      </c>
      <c r="S44" s="147">
        <v>1004</v>
      </c>
      <c r="T44" s="147">
        <v>1205</v>
      </c>
      <c r="U44" s="147">
        <v>1392</v>
      </c>
      <c r="V44" s="147">
        <v>1553</v>
      </c>
      <c r="W44" s="151">
        <v>1125</v>
      </c>
      <c r="X44" s="147">
        <v>1205</v>
      </c>
      <c r="Y44" s="147">
        <v>1446</v>
      </c>
      <c r="Z44" s="147">
        <v>1671</v>
      </c>
      <c r="AA44" s="152">
        <v>1864</v>
      </c>
      <c r="AB44" s="151">
        <v>1312</v>
      </c>
      <c r="AC44" s="147">
        <v>1406</v>
      </c>
      <c r="AD44" s="147">
        <v>1687</v>
      </c>
      <c r="AE44" s="147">
        <v>1949</v>
      </c>
      <c r="AF44" s="152">
        <v>2175</v>
      </c>
      <c r="AG44" s="151">
        <v>1500</v>
      </c>
      <c r="AH44" s="147">
        <v>1607</v>
      </c>
      <c r="AI44" s="147">
        <v>1928</v>
      </c>
      <c r="AJ44" s="147">
        <v>2228</v>
      </c>
      <c r="AK44" s="152">
        <v>2486</v>
      </c>
      <c r="AM44" s="151">
        <v>563</v>
      </c>
      <c r="AN44" s="147">
        <v>603</v>
      </c>
      <c r="AO44" s="147">
        <v>723</v>
      </c>
      <c r="AP44" s="147">
        <v>896</v>
      </c>
      <c r="AQ44" s="152">
        <v>1109</v>
      </c>
      <c r="AS44" s="151">
        <v>562</v>
      </c>
      <c r="AT44" s="147">
        <v>602</v>
      </c>
      <c r="AU44" s="147">
        <v>723</v>
      </c>
      <c r="AV44" s="147">
        <v>896</v>
      </c>
      <c r="AW44" s="152">
        <v>1109</v>
      </c>
      <c r="AX44" s="151">
        <v>937</v>
      </c>
      <c r="AY44" s="147">
        <v>1004</v>
      </c>
      <c r="AZ44" s="147">
        <v>1205</v>
      </c>
      <c r="BA44" s="147">
        <v>1392</v>
      </c>
      <c r="BB44" s="152">
        <v>1553</v>
      </c>
      <c r="BC44" s="151">
        <v>1500</v>
      </c>
      <c r="BD44" s="147">
        <v>1607</v>
      </c>
      <c r="BE44" s="147">
        <v>1928</v>
      </c>
      <c r="BF44" s="147">
        <v>2228</v>
      </c>
      <c r="BG44" s="152">
        <v>2486</v>
      </c>
      <c r="BI44" s="151">
        <v>814</v>
      </c>
      <c r="BJ44" s="147">
        <v>816</v>
      </c>
      <c r="BK44" s="147">
        <v>935</v>
      </c>
      <c r="BL44" s="147">
        <v>1261</v>
      </c>
      <c r="BM44" s="152">
        <v>1569</v>
      </c>
      <c r="BO44" s="150" t="s">
        <v>121</v>
      </c>
      <c r="BP44" s="151">
        <v>814</v>
      </c>
      <c r="BQ44" s="147">
        <v>816</v>
      </c>
      <c r="BR44" s="147">
        <v>935</v>
      </c>
      <c r="BS44" s="147">
        <v>1261</v>
      </c>
      <c r="BT44" s="152">
        <v>1553</v>
      </c>
      <c r="BV44" s="150" t="s">
        <v>121</v>
      </c>
      <c r="BW44" s="151">
        <v>814</v>
      </c>
      <c r="BX44" s="147">
        <v>816</v>
      </c>
      <c r="BY44" s="147">
        <v>935</v>
      </c>
      <c r="BZ44" s="147">
        <v>1261</v>
      </c>
      <c r="CA44" s="152">
        <v>1569</v>
      </c>
    </row>
    <row r="45" spans="1:79" s="157" customFormat="1" x14ac:dyDescent="0.25">
      <c r="A45" s="153" t="s">
        <v>122</v>
      </c>
      <c r="B45" s="497">
        <v>50750</v>
      </c>
      <c r="C45" s="154">
        <v>375</v>
      </c>
      <c r="D45" s="155">
        <v>401</v>
      </c>
      <c r="E45" s="155">
        <v>482</v>
      </c>
      <c r="F45" s="155">
        <v>557</v>
      </c>
      <c r="G45" s="156">
        <v>621</v>
      </c>
      <c r="H45" s="154">
        <v>562</v>
      </c>
      <c r="I45" s="155">
        <v>602</v>
      </c>
      <c r="J45" s="155">
        <v>723</v>
      </c>
      <c r="K45" s="155">
        <v>835</v>
      </c>
      <c r="L45" s="155">
        <v>932</v>
      </c>
      <c r="M45" s="154">
        <v>750</v>
      </c>
      <c r="N45" s="155">
        <v>803</v>
      </c>
      <c r="O45" s="155">
        <v>964</v>
      </c>
      <c r="P45" s="155">
        <v>1114</v>
      </c>
      <c r="Q45" s="156">
        <v>1243</v>
      </c>
      <c r="R45" s="154">
        <v>937</v>
      </c>
      <c r="S45" s="155">
        <v>1004</v>
      </c>
      <c r="T45" s="155">
        <v>1205</v>
      </c>
      <c r="U45" s="155">
        <v>1392</v>
      </c>
      <c r="V45" s="155">
        <v>1553</v>
      </c>
      <c r="W45" s="154">
        <v>1125</v>
      </c>
      <c r="X45" s="155">
        <v>1205</v>
      </c>
      <c r="Y45" s="155">
        <v>1446</v>
      </c>
      <c r="Z45" s="155">
        <v>1671</v>
      </c>
      <c r="AA45" s="156">
        <v>1864</v>
      </c>
      <c r="AB45" s="154">
        <v>1312</v>
      </c>
      <c r="AC45" s="155">
        <v>1406</v>
      </c>
      <c r="AD45" s="155">
        <v>1687</v>
      </c>
      <c r="AE45" s="155">
        <v>1949</v>
      </c>
      <c r="AF45" s="156">
        <v>2175</v>
      </c>
      <c r="AG45" s="154">
        <v>1500</v>
      </c>
      <c r="AH45" s="155">
        <v>1607</v>
      </c>
      <c r="AI45" s="155">
        <v>1928</v>
      </c>
      <c r="AJ45" s="155">
        <v>2228</v>
      </c>
      <c r="AK45" s="156">
        <v>2486</v>
      </c>
      <c r="AL45"/>
      <c r="AM45" s="154">
        <v>563</v>
      </c>
      <c r="AN45" s="155">
        <v>603</v>
      </c>
      <c r="AO45" s="155">
        <v>723</v>
      </c>
      <c r="AP45" s="155">
        <v>896</v>
      </c>
      <c r="AQ45" s="156">
        <v>1109</v>
      </c>
      <c r="AR45"/>
      <c r="AS45" s="154">
        <v>562</v>
      </c>
      <c r="AT45" s="155">
        <v>602</v>
      </c>
      <c r="AU45" s="155">
        <v>723</v>
      </c>
      <c r="AV45" s="155">
        <v>896</v>
      </c>
      <c r="AW45" s="156">
        <v>1109</v>
      </c>
      <c r="AX45" s="154">
        <v>937</v>
      </c>
      <c r="AY45" s="155">
        <v>1004</v>
      </c>
      <c r="AZ45" s="155">
        <v>1205</v>
      </c>
      <c r="BA45" s="155">
        <v>1392</v>
      </c>
      <c r="BB45" s="156">
        <v>1553</v>
      </c>
      <c r="BC45" s="154">
        <v>1500</v>
      </c>
      <c r="BD45" s="155">
        <v>1607</v>
      </c>
      <c r="BE45" s="155">
        <v>1928</v>
      </c>
      <c r="BF45" s="155">
        <v>2228</v>
      </c>
      <c r="BG45" s="156">
        <v>2486</v>
      </c>
      <c r="BH45"/>
      <c r="BI45" s="154">
        <v>738</v>
      </c>
      <c r="BJ45" s="155">
        <v>743</v>
      </c>
      <c r="BK45" s="155">
        <v>924</v>
      </c>
      <c r="BL45" s="155">
        <v>1285</v>
      </c>
      <c r="BM45" s="156">
        <v>1550</v>
      </c>
      <c r="BN45"/>
      <c r="BO45" s="153" t="s">
        <v>122</v>
      </c>
      <c r="BP45" s="154">
        <v>738</v>
      </c>
      <c r="BQ45" s="155">
        <v>743</v>
      </c>
      <c r="BR45" s="155">
        <v>924</v>
      </c>
      <c r="BS45" s="155">
        <v>1285</v>
      </c>
      <c r="BT45" s="156">
        <v>1550</v>
      </c>
      <c r="BU45"/>
      <c r="BV45" s="153" t="s">
        <v>122</v>
      </c>
      <c r="BW45" s="154">
        <v>738</v>
      </c>
      <c r="BX45" s="155">
        <v>743</v>
      </c>
      <c r="BY45" s="155">
        <v>924</v>
      </c>
      <c r="BZ45" s="155">
        <v>1285</v>
      </c>
      <c r="CA45" s="156">
        <v>1550</v>
      </c>
    </row>
    <row r="46" spans="1:79" x14ac:dyDescent="0.25">
      <c r="A46" s="150" t="s">
        <v>123</v>
      </c>
      <c r="B46" s="496">
        <v>50750</v>
      </c>
      <c r="C46" s="151">
        <v>375</v>
      </c>
      <c r="D46" s="147">
        <v>401</v>
      </c>
      <c r="E46" s="147">
        <v>482</v>
      </c>
      <c r="F46" s="147">
        <v>557</v>
      </c>
      <c r="G46" s="152">
        <v>621</v>
      </c>
      <c r="H46" s="151">
        <v>562</v>
      </c>
      <c r="I46" s="147">
        <v>602</v>
      </c>
      <c r="J46" s="147">
        <v>723</v>
      </c>
      <c r="K46" s="147">
        <v>835</v>
      </c>
      <c r="L46" s="147">
        <v>932</v>
      </c>
      <c r="M46" s="151">
        <v>750</v>
      </c>
      <c r="N46" s="147">
        <v>803</v>
      </c>
      <c r="O46" s="147">
        <v>964</v>
      </c>
      <c r="P46" s="147">
        <v>1114</v>
      </c>
      <c r="Q46" s="152">
        <v>1243</v>
      </c>
      <c r="R46" s="151">
        <v>937</v>
      </c>
      <c r="S46" s="147">
        <v>1004</v>
      </c>
      <c r="T46" s="147">
        <v>1205</v>
      </c>
      <c r="U46" s="147">
        <v>1392</v>
      </c>
      <c r="V46" s="147">
        <v>1553</v>
      </c>
      <c r="W46" s="151">
        <v>1125</v>
      </c>
      <c r="X46" s="147">
        <v>1205</v>
      </c>
      <c r="Y46" s="147">
        <v>1446</v>
      </c>
      <c r="Z46" s="147">
        <v>1671</v>
      </c>
      <c r="AA46" s="152">
        <v>1864</v>
      </c>
      <c r="AB46" s="151">
        <v>1312</v>
      </c>
      <c r="AC46" s="147">
        <v>1406</v>
      </c>
      <c r="AD46" s="147">
        <v>1687</v>
      </c>
      <c r="AE46" s="147">
        <v>1949</v>
      </c>
      <c r="AF46" s="152">
        <v>2175</v>
      </c>
      <c r="AG46" s="151">
        <v>1500</v>
      </c>
      <c r="AH46" s="147">
        <v>1607</v>
      </c>
      <c r="AI46" s="147">
        <v>1928</v>
      </c>
      <c r="AJ46" s="147">
        <v>2228</v>
      </c>
      <c r="AK46" s="152">
        <v>2486</v>
      </c>
      <c r="AM46" s="151">
        <v>563</v>
      </c>
      <c r="AN46" s="147">
        <v>603</v>
      </c>
      <c r="AO46" s="147">
        <v>723</v>
      </c>
      <c r="AP46" s="147">
        <v>896</v>
      </c>
      <c r="AQ46" s="152">
        <v>1109</v>
      </c>
      <c r="AS46" s="151">
        <v>562</v>
      </c>
      <c r="AT46" s="147">
        <v>602</v>
      </c>
      <c r="AU46" s="147">
        <v>723</v>
      </c>
      <c r="AV46" s="147">
        <v>896</v>
      </c>
      <c r="AW46" s="152">
        <v>1109</v>
      </c>
      <c r="AX46" s="151">
        <v>937</v>
      </c>
      <c r="AY46" s="147">
        <v>1004</v>
      </c>
      <c r="AZ46" s="147">
        <v>1205</v>
      </c>
      <c r="BA46" s="147">
        <v>1392</v>
      </c>
      <c r="BB46" s="152">
        <v>1553</v>
      </c>
      <c r="BC46" s="151">
        <v>1500</v>
      </c>
      <c r="BD46" s="147">
        <v>1607</v>
      </c>
      <c r="BE46" s="147">
        <v>1928</v>
      </c>
      <c r="BF46" s="147">
        <v>2228</v>
      </c>
      <c r="BG46" s="152">
        <v>2486</v>
      </c>
      <c r="BI46" s="151">
        <v>727</v>
      </c>
      <c r="BJ46" s="147">
        <v>733</v>
      </c>
      <c r="BK46" s="147">
        <v>873</v>
      </c>
      <c r="BL46" s="147">
        <v>1146</v>
      </c>
      <c r="BM46" s="152">
        <v>1385</v>
      </c>
      <c r="BO46" s="150" t="s">
        <v>123</v>
      </c>
      <c r="BP46" s="151">
        <v>727</v>
      </c>
      <c r="BQ46" s="147">
        <v>733</v>
      </c>
      <c r="BR46" s="147">
        <v>873</v>
      </c>
      <c r="BS46" s="147">
        <v>1146</v>
      </c>
      <c r="BT46" s="152">
        <v>1385</v>
      </c>
      <c r="BV46" s="150" t="s">
        <v>123</v>
      </c>
      <c r="BW46" s="151">
        <v>727</v>
      </c>
      <c r="BX46" s="147">
        <v>733</v>
      </c>
      <c r="BY46" s="147">
        <v>873</v>
      </c>
      <c r="BZ46" s="147">
        <v>1146</v>
      </c>
      <c r="CA46" s="152">
        <v>1385</v>
      </c>
    </row>
    <row r="47" spans="1:79" s="157" customFormat="1" x14ac:dyDescent="0.25">
      <c r="A47" s="153" t="s">
        <v>124</v>
      </c>
      <c r="B47" s="497">
        <v>50750</v>
      </c>
      <c r="C47" s="154">
        <v>375</v>
      </c>
      <c r="D47" s="155">
        <v>401</v>
      </c>
      <c r="E47" s="155">
        <v>482</v>
      </c>
      <c r="F47" s="155">
        <v>557</v>
      </c>
      <c r="G47" s="156">
        <v>621</v>
      </c>
      <c r="H47" s="154">
        <v>562</v>
      </c>
      <c r="I47" s="155">
        <v>602</v>
      </c>
      <c r="J47" s="155">
        <v>723</v>
      </c>
      <c r="K47" s="155">
        <v>835</v>
      </c>
      <c r="L47" s="155">
        <v>932</v>
      </c>
      <c r="M47" s="154">
        <v>750</v>
      </c>
      <c r="N47" s="155">
        <v>803</v>
      </c>
      <c r="O47" s="155">
        <v>964</v>
      </c>
      <c r="P47" s="155">
        <v>1114</v>
      </c>
      <c r="Q47" s="156">
        <v>1243</v>
      </c>
      <c r="R47" s="154">
        <v>937</v>
      </c>
      <c r="S47" s="155">
        <v>1004</v>
      </c>
      <c r="T47" s="155">
        <v>1205</v>
      </c>
      <c r="U47" s="155">
        <v>1392</v>
      </c>
      <c r="V47" s="155">
        <v>1553</v>
      </c>
      <c r="W47" s="154">
        <v>1125</v>
      </c>
      <c r="X47" s="155">
        <v>1205</v>
      </c>
      <c r="Y47" s="155">
        <v>1446</v>
      </c>
      <c r="Z47" s="155">
        <v>1671</v>
      </c>
      <c r="AA47" s="156">
        <v>1864</v>
      </c>
      <c r="AB47" s="154">
        <v>1312</v>
      </c>
      <c r="AC47" s="155">
        <v>1406</v>
      </c>
      <c r="AD47" s="155">
        <v>1687</v>
      </c>
      <c r="AE47" s="155">
        <v>1949</v>
      </c>
      <c r="AF47" s="156">
        <v>2175</v>
      </c>
      <c r="AG47" s="154">
        <v>1500</v>
      </c>
      <c r="AH47" s="155">
        <v>1607</v>
      </c>
      <c r="AI47" s="155">
        <v>1928</v>
      </c>
      <c r="AJ47" s="155">
        <v>2228</v>
      </c>
      <c r="AK47" s="156">
        <v>2486</v>
      </c>
      <c r="AL47"/>
      <c r="AM47" s="154">
        <v>563</v>
      </c>
      <c r="AN47" s="155">
        <v>603</v>
      </c>
      <c r="AO47" s="155">
        <v>723</v>
      </c>
      <c r="AP47" s="155">
        <v>896</v>
      </c>
      <c r="AQ47" s="156">
        <v>1109</v>
      </c>
      <c r="AR47"/>
      <c r="AS47" s="154">
        <v>562</v>
      </c>
      <c r="AT47" s="155">
        <v>602</v>
      </c>
      <c r="AU47" s="155">
        <v>723</v>
      </c>
      <c r="AV47" s="155">
        <v>896</v>
      </c>
      <c r="AW47" s="156">
        <v>1109</v>
      </c>
      <c r="AX47" s="154">
        <v>937</v>
      </c>
      <c r="AY47" s="155">
        <v>1004</v>
      </c>
      <c r="AZ47" s="155">
        <v>1205</v>
      </c>
      <c r="BA47" s="155">
        <v>1392</v>
      </c>
      <c r="BB47" s="156">
        <v>1553</v>
      </c>
      <c r="BC47" s="154">
        <v>1500</v>
      </c>
      <c r="BD47" s="155">
        <v>1607</v>
      </c>
      <c r="BE47" s="155">
        <v>1928</v>
      </c>
      <c r="BF47" s="155">
        <v>2228</v>
      </c>
      <c r="BG47" s="156">
        <v>2486</v>
      </c>
      <c r="BH47"/>
      <c r="BI47" s="154">
        <v>738</v>
      </c>
      <c r="BJ47" s="155">
        <v>743</v>
      </c>
      <c r="BK47" s="155">
        <v>924</v>
      </c>
      <c r="BL47" s="155">
        <v>1285</v>
      </c>
      <c r="BM47" s="156">
        <v>1550</v>
      </c>
      <c r="BN47"/>
      <c r="BO47" s="153" t="s">
        <v>124</v>
      </c>
      <c r="BP47" s="154">
        <v>738</v>
      </c>
      <c r="BQ47" s="155">
        <v>743</v>
      </c>
      <c r="BR47" s="155">
        <v>924</v>
      </c>
      <c r="BS47" s="155">
        <v>1285</v>
      </c>
      <c r="BT47" s="156">
        <v>1550</v>
      </c>
      <c r="BU47"/>
      <c r="BV47" s="153" t="s">
        <v>124</v>
      </c>
      <c r="BW47" s="154">
        <v>738</v>
      </c>
      <c r="BX47" s="155">
        <v>743</v>
      </c>
      <c r="BY47" s="155">
        <v>924</v>
      </c>
      <c r="BZ47" s="155">
        <v>1285</v>
      </c>
      <c r="CA47" s="156">
        <v>1550</v>
      </c>
    </row>
    <row r="48" spans="1:79" x14ac:dyDescent="0.25">
      <c r="A48" s="150" t="s">
        <v>125</v>
      </c>
      <c r="B48" s="496">
        <v>54150</v>
      </c>
      <c r="C48" s="151">
        <v>385</v>
      </c>
      <c r="D48" s="147">
        <v>412</v>
      </c>
      <c r="E48" s="147">
        <v>495</v>
      </c>
      <c r="F48" s="147">
        <v>571</v>
      </c>
      <c r="G48" s="152">
        <v>637</v>
      </c>
      <c r="H48" s="151">
        <v>577</v>
      </c>
      <c r="I48" s="147">
        <v>618</v>
      </c>
      <c r="J48" s="147">
        <v>742</v>
      </c>
      <c r="K48" s="147">
        <v>857</v>
      </c>
      <c r="L48" s="147">
        <v>956</v>
      </c>
      <c r="M48" s="151">
        <v>770</v>
      </c>
      <c r="N48" s="147">
        <v>825</v>
      </c>
      <c r="O48" s="147">
        <v>990</v>
      </c>
      <c r="P48" s="147">
        <v>1143</v>
      </c>
      <c r="Q48" s="152">
        <v>1275</v>
      </c>
      <c r="R48" s="151">
        <v>962</v>
      </c>
      <c r="S48" s="147">
        <v>1031</v>
      </c>
      <c r="T48" s="147">
        <v>1237</v>
      </c>
      <c r="U48" s="147">
        <v>1428</v>
      </c>
      <c r="V48" s="147">
        <v>1593</v>
      </c>
      <c r="W48" s="151">
        <v>1155</v>
      </c>
      <c r="X48" s="147">
        <v>1237</v>
      </c>
      <c r="Y48" s="147">
        <v>1485</v>
      </c>
      <c r="Z48" s="147">
        <v>1714</v>
      </c>
      <c r="AA48" s="152">
        <v>1912</v>
      </c>
      <c r="AB48" s="151">
        <v>1347</v>
      </c>
      <c r="AC48" s="147">
        <v>1443</v>
      </c>
      <c r="AD48" s="147">
        <v>1732</v>
      </c>
      <c r="AE48" s="147">
        <v>2000</v>
      </c>
      <c r="AF48" s="152">
        <v>2231</v>
      </c>
      <c r="AG48" s="151">
        <v>1540</v>
      </c>
      <c r="AH48" s="147">
        <v>1650</v>
      </c>
      <c r="AI48" s="147">
        <v>1980</v>
      </c>
      <c r="AJ48" s="147">
        <v>2286</v>
      </c>
      <c r="AK48" s="152">
        <v>2550</v>
      </c>
      <c r="AM48" s="151">
        <v>577</v>
      </c>
      <c r="AN48" s="147">
        <v>618</v>
      </c>
      <c r="AO48" s="147">
        <v>742</v>
      </c>
      <c r="AP48" s="147">
        <v>896</v>
      </c>
      <c r="AQ48" s="152">
        <v>1109</v>
      </c>
      <c r="AS48" s="151">
        <v>577</v>
      </c>
      <c r="AT48" s="147">
        <v>618</v>
      </c>
      <c r="AU48" s="147">
        <v>742</v>
      </c>
      <c r="AV48" s="147">
        <v>896</v>
      </c>
      <c r="AW48" s="152">
        <v>1109</v>
      </c>
      <c r="AX48" s="151">
        <v>962</v>
      </c>
      <c r="AY48" s="147">
        <v>1031</v>
      </c>
      <c r="AZ48" s="147">
        <v>1237</v>
      </c>
      <c r="BA48" s="147">
        <v>1428</v>
      </c>
      <c r="BB48" s="152">
        <v>1593</v>
      </c>
      <c r="BC48" s="151">
        <v>1540</v>
      </c>
      <c r="BD48" s="147">
        <v>1650</v>
      </c>
      <c r="BE48" s="147">
        <v>1980</v>
      </c>
      <c r="BF48" s="147">
        <v>2286</v>
      </c>
      <c r="BG48" s="152">
        <v>2550</v>
      </c>
      <c r="BI48" s="151">
        <v>869</v>
      </c>
      <c r="BJ48" s="147">
        <v>874</v>
      </c>
      <c r="BK48" s="147">
        <v>1056</v>
      </c>
      <c r="BL48" s="147">
        <v>1469</v>
      </c>
      <c r="BM48" s="152">
        <v>1771</v>
      </c>
      <c r="BO48" s="150" t="s">
        <v>125</v>
      </c>
      <c r="BP48" s="151">
        <v>869</v>
      </c>
      <c r="BQ48" s="147">
        <v>874</v>
      </c>
      <c r="BR48" s="147">
        <v>1056</v>
      </c>
      <c r="BS48" s="147">
        <v>1428</v>
      </c>
      <c r="BT48" s="152">
        <v>1593</v>
      </c>
      <c r="BV48" s="150" t="s">
        <v>125</v>
      </c>
      <c r="BW48" s="151">
        <v>869</v>
      </c>
      <c r="BX48" s="147">
        <v>874</v>
      </c>
      <c r="BY48" s="147">
        <v>1056</v>
      </c>
      <c r="BZ48" s="147">
        <v>1469</v>
      </c>
      <c r="CA48" s="152">
        <v>1771</v>
      </c>
    </row>
    <row r="49" spans="1:79" s="157" customFormat="1" x14ac:dyDescent="0.25">
      <c r="A49" s="153" t="s">
        <v>126</v>
      </c>
      <c r="B49" s="497">
        <v>55850</v>
      </c>
      <c r="C49" s="154">
        <v>404</v>
      </c>
      <c r="D49" s="155">
        <v>432</v>
      </c>
      <c r="E49" s="155">
        <v>519</v>
      </c>
      <c r="F49" s="155">
        <v>599</v>
      </c>
      <c r="G49" s="156">
        <v>669</v>
      </c>
      <c r="H49" s="154">
        <v>606</v>
      </c>
      <c r="I49" s="155">
        <v>649</v>
      </c>
      <c r="J49" s="155">
        <v>778</v>
      </c>
      <c r="K49" s="155">
        <v>899</v>
      </c>
      <c r="L49" s="155">
        <v>1003</v>
      </c>
      <c r="M49" s="154">
        <v>808</v>
      </c>
      <c r="N49" s="155">
        <v>865</v>
      </c>
      <c r="O49" s="155">
        <v>1038</v>
      </c>
      <c r="P49" s="155">
        <v>1199</v>
      </c>
      <c r="Q49" s="156">
        <v>1338</v>
      </c>
      <c r="R49" s="154">
        <v>1010</v>
      </c>
      <c r="S49" s="155">
        <v>1081</v>
      </c>
      <c r="T49" s="155">
        <v>1297</v>
      </c>
      <c r="U49" s="155">
        <v>1499</v>
      </c>
      <c r="V49" s="155">
        <v>1672</v>
      </c>
      <c r="W49" s="154">
        <v>1212</v>
      </c>
      <c r="X49" s="155">
        <v>1298</v>
      </c>
      <c r="Y49" s="155">
        <v>1557</v>
      </c>
      <c r="Z49" s="155">
        <v>1799</v>
      </c>
      <c r="AA49" s="156">
        <v>2007</v>
      </c>
      <c r="AB49" s="154">
        <v>1414</v>
      </c>
      <c r="AC49" s="155">
        <v>1514</v>
      </c>
      <c r="AD49" s="155">
        <v>1816</v>
      </c>
      <c r="AE49" s="155">
        <v>2099</v>
      </c>
      <c r="AF49" s="156">
        <v>2341</v>
      </c>
      <c r="AG49" s="154">
        <v>1616</v>
      </c>
      <c r="AH49" s="155">
        <v>1731</v>
      </c>
      <c r="AI49" s="155">
        <v>2076</v>
      </c>
      <c r="AJ49" s="155">
        <v>2399</v>
      </c>
      <c r="AK49" s="156">
        <v>2676</v>
      </c>
      <c r="AL49"/>
      <c r="AM49" s="154">
        <v>606</v>
      </c>
      <c r="AN49" s="155">
        <v>649</v>
      </c>
      <c r="AO49" s="155">
        <v>778</v>
      </c>
      <c r="AP49" s="155">
        <v>900</v>
      </c>
      <c r="AQ49" s="156">
        <v>1109</v>
      </c>
      <c r="AR49"/>
      <c r="AS49" s="154">
        <v>606</v>
      </c>
      <c r="AT49" s="155">
        <v>649</v>
      </c>
      <c r="AU49" s="155">
        <v>778</v>
      </c>
      <c r="AV49" s="155">
        <v>915</v>
      </c>
      <c r="AW49" s="156">
        <v>1109</v>
      </c>
      <c r="AX49" s="154">
        <v>1010</v>
      </c>
      <c r="AY49" s="155">
        <v>1081</v>
      </c>
      <c r="AZ49" s="155">
        <v>1297</v>
      </c>
      <c r="BA49" s="155">
        <v>1499</v>
      </c>
      <c r="BB49" s="156">
        <v>1672</v>
      </c>
      <c r="BC49" s="154">
        <v>1616</v>
      </c>
      <c r="BD49" s="155">
        <v>1731</v>
      </c>
      <c r="BE49" s="155">
        <v>2076</v>
      </c>
      <c r="BF49" s="155">
        <v>2399</v>
      </c>
      <c r="BG49" s="156">
        <v>2676</v>
      </c>
      <c r="BH49"/>
      <c r="BI49" s="154">
        <v>697</v>
      </c>
      <c r="BJ49" s="155">
        <v>702</v>
      </c>
      <c r="BK49" s="155">
        <v>873</v>
      </c>
      <c r="BL49" s="155">
        <v>1214</v>
      </c>
      <c r="BM49" s="156">
        <v>1464</v>
      </c>
      <c r="BN49"/>
      <c r="BO49" s="153" t="s">
        <v>126</v>
      </c>
      <c r="BP49" s="154">
        <v>697</v>
      </c>
      <c r="BQ49" s="155">
        <v>702</v>
      </c>
      <c r="BR49" s="155">
        <v>873</v>
      </c>
      <c r="BS49" s="155">
        <v>1214</v>
      </c>
      <c r="BT49" s="156">
        <v>1464</v>
      </c>
      <c r="BU49"/>
      <c r="BV49" s="153" t="s">
        <v>126</v>
      </c>
      <c r="BW49" s="154">
        <v>697</v>
      </c>
      <c r="BX49" s="155">
        <v>702</v>
      </c>
      <c r="BY49" s="155">
        <v>873</v>
      </c>
      <c r="BZ49" s="155">
        <v>1214</v>
      </c>
      <c r="CA49" s="156">
        <v>1464</v>
      </c>
    </row>
    <row r="50" spans="1:79" x14ac:dyDescent="0.25">
      <c r="A50" s="150" t="s">
        <v>127</v>
      </c>
      <c r="B50" s="496">
        <v>50750</v>
      </c>
      <c r="C50" s="151">
        <v>378</v>
      </c>
      <c r="D50" s="147">
        <v>405</v>
      </c>
      <c r="E50" s="147">
        <v>486</v>
      </c>
      <c r="F50" s="147">
        <v>561</v>
      </c>
      <c r="G50" s="152">
        <v>626</v>
      </c>
      <c r="H50" s="151">
        <v>567</v>
      </c>
      <c r="I50" s="147">
        <v>607</v>
      </c>
      <c r="J50" s="147">
        <v>729</v>
      </c>
      <c r="K50" s="147">
        <v>842</v>
      </c>
      <c r="L50" s="147">
        <v>939</v>
      </c>
      <c r="M50" s="151">
        <v>756</v>
      </c>
      <c r="N50" s="147">
        <v>810</v>
      </c>
      <c r="O50" s="147">
        <v>972</v>
      </c>
      <c r="P50" s="147">
        <v>1123</v>
      </c>
      <c r="Q50" s="152">
        <v>1253</v>
      </c>
      <c r="R50" s="151">
        <v>945</v>
      </c>
      <c r="S50" s="147">
        <v>1012</v>
      </c>
      <c r="T50" s="147">
        <v>1215</v>
      </c>
      <c r="U50" s="147">
        <v>1404</v>
      </c>
      <c r="V50" s="147">
        <v>1566</v>
      </c>
      <c r="W50" s="151">
        <v>1134</v>
      </c>
      <c r="X50" s="147">
        <v>1215</v>
      </c>
      <c r="Y50" s="147">
        <v>1458</v>
      </c>
      <c r="Z50" s="147">
        <v>1685</v>
      </c>
      <c r="AA50" s="152">
        <v>1879</v>
      </c>
      <c r="AB50" s="151">
        <v>1323</v>
      </c>
      <c r="AC50" s="147">
        <v>1417</v>
      </c>
      <c r="AD50" s="147">
        <v>1701</v>
      </c>
      <c r="AE50" s="147">
        <v>1966</v>
      </c>
      <c r="AF50" s="152">
        <v>2192</v>
      </c>
      <c r="AG50" s="151">
        <v>1512</v>
      </c>
      <c r="AH50" s="147">
        <v>1620</v>
      </c>
      <c r="AI50" s="147">
        <v>1944</v>
      </c>
      <c r="AJ50" s="147">
        <v>2247</v>
      </c>
      <c r="AK50" s="152">
        <v>2506</v>
      </c>
      <c r="AM50" s="151">
        <v>567</v>
      </c>
      <c r="AN50" s="147">
        <v>608</v>
      </c>
      <c r="AO50" s="147">
        <v>730</v>
      </c>
      <c r="AP50" s="147">
        <v>896</v>
      </c>
      <c r="AQ50" s="152">
        <v>1109</v>
      </c>
      <c r="AS50" s="151">
        <v>567</v>
      </c>
      <c r="AT50" s="147">
        <v>607</v>
      </c>
      <c r="AU50" s="147">
        <v>729</v>
      </c>
      <c r="AV50" s="147">
        <v>896</v>
      </c>
      <c r="AW50" s="152">
        <v>1109</v>
      </c>
      <c r="AX50" s="151">
        <v>945</v>
      </c>
      <c r="AY50" s="147">
        <v>1012</v>
      </c>
      <c r="AZ50" s="147">
        <v>1215</v>
      </c>
      <c r="BA50" s="147">
        <v>1404</v>
      </c>
      <c r="BB50" s="152">
        <v>1566</v>
      </c>
      <c r="BC50" s="151">
        <v>1512</v>
      </c>
      <c r="BD50" s="147">
        <v>1620</v>
      </c>
      <c r="BE50" s="147">
        <v>1944</v>
      </c>
      <c r="BF50" s="147">
        <v>2247</v>
      </c>
      <c r="BG50" s="152">
        <v>2506</v>
      </c>
      <c r="BI50" s="151">
        <v>676</v>
      </c>
      <c r="BJ50" s="147">
        <v>680</v>
      </c>
      <c r="BK50" s="147">
        <v>873</v>
      </c>
      <c r="BL50" s="147">
        <v>1214</v>
      </c>
      <c r="BM50" s="152">
        <v>1464</v>
      </c>
      <c r="BO50" s="150" t="s">
        <v>127</v>
      </c>
      <c r="BP50" s="151">
        <v>676</v>
      </c>
      <c r="BQ50" s="147">
        <v>680</v>
      </c>
      <c r="BR50" s="147">
        <v>873</v>
      </c>
      <c r="BS50" s="147">
        <v>1214</v>
      </c>
      <c r="BT50" s="152">
        <v>1464</v>
      </c>
      <c r="BV50" s="150" t="s">
        <v>127</v>
      </c>
      <c r="BW50" s="151">
        <v>676</v>
      </c>
      <c r="BX50" s="147">
        <v>680</v>
      </c>
      <c r="BY50" s="147">
        <v>873</v>
      </c>
      <c r="BZ50" s="147">
        <v>1214</v>
      </c>
      <c r="CA50" s="152">
        <v>1464</v>
      </c>
    </row>
    <row r="51" spans="1:79" s="157" customFormat="1" x14ac:dyDescent="0.25">
      <c r="A51" s="153" t="s">
        <v>128</v>
      </c>
      <c r="B51" s="497">
        <v>50750</v>
      </c>
      <c r="C51" s="154">
        <v>375</v>
      </c>
      <c r="D51" s="155">
        <v>401</v>
      </c>
      <c r="E51" s="155">
        <v>482</v>
      </c>
      <c r="F51" s="155">
        <v>557</v>
      </c>
      <c r="G51" s="156">
        <v>621</v>
      </c>
      <c r="H51" s="154">
        <v>562</v>
      </c>
      <c r="I51" s="155">
        <v>602</v>
      </c>
      <c r="J51" s="155">
        <v>723</v>
      </c>
      <c r="K51" s="155">
        <v>835</v>
      </c>
      <c r="L51" s="155">
        <v>932</v>
      </c>
      <c r="M51" s="154">
        <v>750</v>
      </c>
      <c r="N51" s="155">
        <v>803</v>
      </c>
      <c r="O51" s="155">
        <v>964</v>
      </c>
      <c r="P51" s="155">
        <v>1114</v>
      </c>
      <c r="Q51" s="156">
        <v>1243</v>
      </c>
      <c r="R51" s="154">
        <v>937</v>
      </c>
      <c r="S51" s="155">
        <v>1004</v>
      </c>
      <c r="T51" s="155">
        <v>1205</v>
      </c>
      <c r="U51" s="155">
        <v>1392</v>
      </c>
      <c r="V51" s="155">
        <v>1553</v>
      </c>
      <c r="W51" s="154">
        <v>1125</v>
      </c>
      <c r="X51" s="155">
        <v>1205</v>
      </c>
      <c r="Y51" s="155">
        <v>1446</v>
      </c>
      <c r="Z51" s="155">
        <v>1671</v>
      </c>
      <c r="AA51" s="156">
        <v>1864</v>
      </c>
      <c r="AB51" s="154">
        <v>1312</v>
      </c>
      <c r="AC51" s="155">
        <v>1406</v>
      </c>
      <c r="AD51" s="155">
        <v>1687</v>
      </c>
      <c r="AE51" s="155">
        <v>1949</v>
      </c>
      <c r="AF51" s="156">
        <v>2175</v>
      </c>
      <c r="AG51" s="154">
        <v>1500</v>
      </c>
      <c r="AH51" s="155">
        <v>1607</v>
      </c>
      <c r="AI51" s="155">
        <v>1928</v>
      </c>
      <c r="AJ51" s="155">
        <v>2228</v>
      </c>
      <c r="AK51" s="156">
        <v>2486</v>
      </c>
      <c r="AL51"/>
      <c r="AM51" s="154">
        <v>563</v>
      </c>
      <c r="AN51" s="155">
        <v>603</v>
      </c>
      <c r="AO51" s="155">
        <v>723</v>
      </c>
      <c r="AP51" s="155">
        <v>896</v>
      </c>
      <c r="AQ51" s="156">
        <v>1109</v>
      </c>
      <c r="AR51"/>
      <c r="AS51" s="154">
        <v>562</v>
      </c>
      <c r="AT51" s="155">
        <v>602</v>
      </c>
      <c r="AU51" s="155">
        <v>723</v>
      </c>
      <c r="AV51" s="155">
        <v>896</v>
      </c>
      <c r="AW51" s="156">
        <v>1109</v>
      </c>
      <c r="AX51" s="154">
        <v>937</v>
      </c>
      <c r="AY51" s="155">
        <v>1004</v>
      </c>
      <c r="AZ51" s="155">
        <v>1205</v>
      </c>
      <c r="BA51" s="155">
        <v>1392</v>
      </c>
      <c r="BB51" s="156">
        <v>1553</v>
      </c>
      <c r="BC51" s="154">
        <v>1500</v>
      </c>
      <c r="BD51" s="155">
        <v>1607</v>
      </c>
      <c r="BE51" s="155">
        <v>1928</v>
      </c>
      <c r="BF51" s="155">
        <v>2228</v>
      </c>
      <c r="BG51" s="156">
        <v>2486</v>
      </c>
      <c r="BH51"/>
      <c r="BI51" s="154">
        <v>697</v>
      </c>
      <c r="BJ51" s="155">
        <v>702</v>
      </c>
      <c r="BK51" s="155">
        <v>873</v>
      </c>
      <c r="BL51" s="155">
        <v>1214</v>
      </c>
      <c r="BM51" s="156">
        <v>1464</v>
      </c>
      <c r="BN51"/>
      <c r="BO51" s="153" t="s">
        <v>128</v>
      </c>
      <c r="BP51" s="154">
        <v>697</v>
      </c>
      <c r="BQ51" s="155">
        <v>702</v>
      </c>
      <c r="BR51" s="155">
        <v>873</v>
      </c>
      <c r="BS51" s="155">
        <v>1214</v>
      </c>
      <c r="BT51" s="156">
        <v>1464</v>
      </c>
      <c r="BU51"/>
      <c r="BV51" s="153" t="s">
        <v>128</v>
      </c>
      <c r="BW51" s="154">
        <v>697</v>
      </c>
      <c r="BX51" s="155">
        <v>702</v>
      </c>
      <c r="BY51" s="155">
        <v>873</v>
      </c>
      <c r="BZ51" s="155">
        <v>1214</v>
      </c>
      <c r="CA51" s="156">
        <v>1464</v>
      </c>
    </row>
    <row r="52" spans="1:79" x14ac:dyDescent="0.25">
      <c r="A52" s="150" t="s">
        <v>129</v>
      </c>
      <c r="B52" s="496">
        <v>56250</v>
      </c>
      <c r="C52" s="151">
        <v>409</v>
      </c>
      <c r="D52" s="147">
        <v>438</v>
      </c>
      <c r="E52" s="147">
        <v>526</v>
      </c>
      <c r="F52" s="147">
        <v>608</v>
      </c>
      <c r="G52" s="152">
        <v>679</v>
      </c>
      <c r="H52" s="151">
        <v>614</v>
      </c>
      <c r="I52" s="147">
        <v>658</v>
      </c>
      <c r="J52" s="147">
        <v>789</v>
      </c>
      <c r="K52" s="147">
        <v>912</v>
      </c>
      <c r="L52" s="147">
        <v>1018</v>
      </c>
      <c r="M52" s="151">
        <v>819</v>
      </c>
      <c r="N52" s="147">
        <v>877</v>
      </c>
      <c r="O52" s="147">
        <v>1053</v>
      </c>
      <c r="P52" s="147">
        <v>1217</v>
      </c>
      <c r="Q52" s="152">
        <v>1358</v>
      </c>
      <c r="R52" s="151">
        <v>1023</v>
      </c>
      <c r="S52" s="147">
        <v>1096</v>
      </c>
      <c r="T52" s="147">
        <v>1316</v>
      </c>
      <c r="U52" s="147">
        <v>1521</v>
      </c>
      <c r="V52" s="147">
        <v>1697</v>
      </c>
      <c r="W52" s="151">
        <v>1228</v>
      </c>
      <c r="X52" s="147">
        <v>1316</v>
      </c>
      <c r="Y52" s="147">
        <v>1579</v>
      </c>
      <c r="Z52" s="147">
        <v>1825</v>
      </c>
      <c r="AA52" s="152">
        <v>2037</v>
      </c>
      <c r="AB52" s="151">
        <v>1433</v>
      </c>
      <c r="AC52" s="147">
        <v>1535</v>
      </c>
      <c r="AD52" s="147">
        <v>1842</v>
      </c>
      <c r="AE52" s="147">
        <v>2129</v>
      </c>
      <c r="AF52" s="152">
        <v>2376</v>
      </c>
      <c r="AG52" s="151">
        <v>1638</v>
      </c>
      <c r="AH52" s="147">
        <v>1755</v>
      </c>
      <c r="AI52" s="147">
        <v>2106</v>
      </c>
      <c r="AJ52" s="147">
        <v>2434</v>
      </c>
      <c r="AK52" s="152">
        <v>2716</v>
      </c>
      <c r="AM52" s="151">
        <v>615</v>
      </c>
      <c r="AN52" s="147">
        <v>658</v>
      </c>
      <c r="AO52" s="147">
        <v>790</v>
      </c>
      <c r="AP52" s="147">
        <v>913</v>
      </c>
      <c r="AQ52" s="152">
        <v>1109</v>
      </c>
      <c r="AS52" s="151">
        <v>614</v>
      </c>
      <c r="AT52" s="147">
        <v>658</v>
      </c>
      <c r="AU52" s="147">
        <v>789</v>
      </c>
      <c r="AV52" s="147">
        <v>922</v>
      </c>
      <c r="AW52" s="152">
        <v>1109</v>
      </c>
      <c r="AX52" s="151">
        <v>1023</v>
      </c>
      <c r="AY52" s="147">
        <v>1096</v>
      </c>
      <c r="AZ52" s="147">
        <v>1316</v>
      </c>
      <c r="BA52" s="147">
        <v>1521</v>
      </c>
      <c r="BB52" s="152">
        <v>1697</v>
      </c>
      <c r="BC52" s="151">
        <v>1638</v>
      </c>
      <c r="BD52" s="147">
        <v>1755</v>
      </c>
      <c r="BE52" s="147">
        <v>2106</v>
      </c>
      <c r="BF52" s="147">
        <v>2434</v>
      </c>
      <c r="BG52" s="152">
        <v>2716</v>
      </c>
      <c r="BI52" s="151">
        <v>686</v>
      </c>
      <c r="BJ52" s="147">
        <v>690</v>
      </c>
      <c r="BK52" s="147">
        <v>873</v>
      </c>
      <c r="BL52" s="147">
        <v>1214</v>
      </c>
      <c r="BM52" s="152">
        <v>1464</v>
      </c>
      <c r="BO52" s="150" t="s">
        <v>129</v>
      </c>
      <c r="BP52" s="151">
        <v>686</v>
      </c>
      <c r="BQ52" s="147">
        <v>690</v>
      </c>
      <c r="BR52" s="147">
        <v>873</v>
      </c>
      <c r="BS52" s="147">
        <v>1214</v>
      </c>
      <c r="BT52" s="152">
        <v>1464</v>
      </c>
      <c r="BV52" s="150" t="s">
        <v>129</v>
      </c>
      <c r="BW52" s="151">
        <v>686</v>
      </c>
      <c r="BX52" s="147">
        <v>690</v>
      </c>
      <c r="BY52" s="147">
        <v>873</v>
      </c>
      <c r="BZ52" s="147">
        <v>1214</v>
      </c>
      <c r="CA52" s="152">
        <v>1464</v>
      </c>
    </row>
    <row r="53" spans="1:79" s="157" customFormat="1" x14ac:dyDescent="0.25">
      <c r="A53" s="153" t="s">
        <v>130</v>
      </c>
      <c r="B53" s="497">
        <v>50750</v>
      </c>
      <c r="C53" s="154">
        <v>375</v>
      </c>
      <c r="D53" s="155">
        <v>401</v>
      </c>
      <c r="E53" s="155">
        <v>482</v>
      </c>
      <c r="F53" s="155">
        <v>557</v>
      </c>
      <c r="G53" s="156">
        <v>621</v>
      </c>
      <c r="H53" s="154">
        <v>562</v>
      </c>
      <c r="I53" s="155">
        <v>602</v>
      </c>
      <c r="J53" s="155">
        <v>723</v>
      </c>
      <c r="K53" s="155">
        <v>835</v>
      </c>
      <c r="L53" s="155">
        <v>932</v>
      </c>
      <c r="M53" s="154">
        <v>750</v>
      </c>
      <c r="N53" s="155">
        <v>803</v>
      </c>
      <c r="O53" s="155">
        <v>964</v>
      </c>
      <c r="P53" s="155">
        <v>1114</v>
      </c>
      <c r="Q53" s="156">
        <v>1243</v>
      </c>
      <c r="R53" s="154">
        <v>937</v>
      </c>
      <c r="S53" s="155">
        <v>1004</v>
      </c>
      <c r="T53" s="155">
        <v>1205</v>
      </c>
      <c r="U53" s="155">
        <v>1392</v>
      </c>
      <c r="V53" s="155">
        <v>1553</v>
      </c>
      <c r="W53" s="154">
        <v>1125</v>
      </c>
      <c r="X53" s="155">
        <v>1205</v>
      </c>
      <c r="Y53" s="155">
        <v>1446</v>
      </c>
      <c r="Z53" s="155">
        <v>1671</v>
      </c>
      <c r="AA53" s="156">
        <v>1864</v>
      </c>
      <c r="AB53" s="154">
        <v>1312</v>
      </c>
      <c r="AC53" s="155">
        <v>1406</v>
      </c>
      <c r="AD53" s="155">
        <v>1687</v>
      </c>
      <c r="AE53" s="155">
        <v>1949</v>
      </c>
      <c r="AF53" s="156">
        <v>2175</v>
      </c>
      <c r="AG53" s="154">
        <v>1500</v>
      </c>
      <c r="AH53" s="155">
        <v>1607</v>
      </c>
      <c r="AI53" s="155">
        <v>1928</v>
      </c>
      <c r="AJ53" s="155">
        <v>2228</v>
      </c>
      <c r="AK53" s="156">
        <v>2486</v>
      </c>
      <c r="AL53"/>
      <c r="AM53" s="154">
        <v>563</v>
      </c>
      <c r="AN53" s="155">
        <v>603</v>
      </c>
      <c r="AO53" s="155">
        <v>723</v>
      </c>
      <c r="AP53" s="155">
        <v>896</v>
      </c>
      <c r="AQ53" s="156">
        <v>1109</v>
      </c>
      <c r="AR53"/>
      <c r="AS53" s="154">
        <v>562</v>
      </c>
      <c r="AT53" s="155">
        <v>602</v>
      </c>
      <c r="AU53" s="155">
        <v>723</v>
      </c>
      <c r="AV53" s="155">
        <v>896</v>
      </c>
      <c r="AW53" s="156">
        <v>1109</v>
      </c>
      <c r="AX53" s="154">
        <v>937</v>
      </c>
      <c r="AY53" s="155">
        <v>1004</v>
      </c>
      <c r="AZ53" s="155">
        <v>1205</v>
      </c>
      <c r="BA53" s="155">
        <v>1392</v>
      </c>
      <c r="BB53" s="156">
        <v>1553</v>
      </c>
      <c r="BC53" s="154">
        <v>1500</v>
      </c>
      <c r="BD53" s="155">
        <v>1607</v>
      </c>
      <c r="BE53" s="155">
        <v>1928</v>
      </c>
      <c r="BF53" s="155">
        <v>2228</v>
      </c>
      <c r="BG53" s="156">
        <v>2486</v>
      </c>
      <c r="BH53"/>
      <c r="BI53" s="154">
        <v>676</v>
      </c>
      <c r="BJ53" s="155">
        <v>680</v>
      </c>
      <c r="BK53" s="155">
        <v>873</v>
      </c>
      <c r="BL53" s="155">
        <v>1140</v>
      </c>
      <c r="BM53" s="156">
        <v>1464</v>
      </c>
      <c r="BN53"/>
      <c r="BO53" s="153" t="s">
        <v>130</v>
      </c>
      <c r="BP53" s="154">
        <v>676</v>
      </c>
      <c r="BQ53" s="155">
        <v>680</v>
      </c>
      <c r="BR53" s="155">
        <v>873</v>
      </c>
      <c r="BS53" s="155">
        <v>1140</v>
      </c>
      <c r="BT53" s="156">
        <v>1464</v>
      </c>
      <c r="BU53"/>
      <c r="BV53" s="153" t="s">
        <v>130</v>
      </c>
      <c r="BW53" s="154">
        <v>676</v>
      </c>
      <c r="BX53" s="155">
        <v>680</v>
      </c>
      <c r="BY53" s="155">
        <v>873</v>
      </c>
      <c r="BZ53" s="155">
        <v>1140</v>
      </c>
      <c r="CA53" s="156">
        <v>1464</v>
      </c>
    </row>
    <row r="54" spans="1:79" x14ac:dyDescent="0.25">
      <c r="A54" s="150" t="s">
        <v>131</v>
      </c>
      <c r="B54" s="496">
        <v>52600</v>
      </c>
      <c r="C54" s="151">
        <v>375</v>
      </c>
      <c r="D54" s="147">
        <v>401</v>
      </c>
      <c r="E54" s="147">
        <v>482</v>
      </c>
      <c r="F54" s="147">
        <v>557</v>
      </c>
      <c r="G54" s="152">
        <v>621</v>
      </c>
      <c r="H54" s="151">
        <v>562</v>
      </c>
      <c r="I54" s="147">
        <v>602</v>
      </c>
      <c r="J54" s="147">
        <v>723</v>
      </c>
      <c r="K54" s="147">
        <v>835</v>
      </c>
      <c r="L54" s="147">
        <v>932</v>
      </c>
      <c r="M54" s="151">
        <v>750</v>
      </c>
      <c r="N54" s="147">
        <v>803</v>
      </c>
      <c r="O54" s="147">
        <v>964</v>
      </c>
      <c r="P54" s="147">
        <v>1114</v>
      </c>
      <c r="Q54" s="152">
        <v>1243</v>
      </c>
      <c r="R54" s="151">
        <v>937</v>
      </c>
      <c r="S54" s="147">
        <v>1004</v>
      </c>
      <c r="T54" s="147">
        <v>1205</v>
      </c>
      <c r="U54" s="147">
        <v>1392</v>
      </c>
      <c r="V54" s="147">
        <v>1553</v>
      </c>
      <c r="W54" s="151">
        <v>1125</v>
      </c>
      <c r="X54" s="147">
        <v>1205</v>
      </c>
      <c r="Y54" s="147">
        <v>1446</v>
      </c>
      <c r="Z54" s="147">
        <v>1671</v>
      </c>
      <c r="AA54" s="152">
        <v>1864</v>
      </c>
      <c r="AB54" s="151">
        <v>1312</v>
      </c>
      <c r="AC54" s="147">
        <v>1406</v>
      </c>
      <c r="AD54" s="147">
        <v>1687</v>
      </c>
      <c r="AE54" s="147">
        <v>1949</v>
      </c>
      <c r="AF54" s="152">
        <v>2175</v>
      </c>
      <c r="AG54" s="151">
        <v>1500</v>
      </c>
      <c r="AH54" s="147">
        <v>1607</v>
      </c>
      <c r="AI54" s="147">
        <v>1928</v>
      </c>
      <c r="AJ54" s="147">
        <v>2228</v>
      </c>
      <c r="AK54" s="152">
        <v>2486</v>
      </c>
      <c r="AM54" s="151">
        <v>563</v>
      </c>
      <c r="AN54" s="147">
        <v>603</v>
      </c>
      <c r="AO54" s="147">
        <v>723</v>
      </c>
      <c r="AP54" s="147">
        <v>896</v>
      </c>
      <c r="AQ54" s="152">
        <v>1109</v>
      </c>
      <c r="AS54" s="151">
        <v>562</v>
      </c>
      <c r="AT54" s="147">
        <v>602</v>
      </c>
      <c r="AU54" s="147">
        <v>723</v>
      </c>
      <c r="AV54" s="147">
        <v>896</v>
      </c>
      <c r="AW54" s="152">
        <v>1109</v>
      </c>
      <c r="AX54" s="151">
        <v>937</v>
      </c>
      <c r="AY54" s="147">
        <v>1004</v>
      </c>
      <c r="AZ54" s="147">
        <v>1205</v>
      </c>
      <c r="BA54" s="147">
        <v>1392</v>
      </c>
      <c r="BB54" s="152">
        <v>1553</v>
      </c>
      <c r="BC54" s="151">
        <v>1500</v>
      </c>
      <c r="BD54" s="147">
        <v>1607</v>
      </c>
      <c r="BE54" s="147">
        <v>1928</v>
      </c>
      <c r="BF54" s="147">
        <v>2228</v>
      </c>
      <c r="BG54" s="152">
        <v>2486</v>
      </c>
      <c r="BI54" s="151">
        <v>806</v>
      </c>
      <c r="BJ54" s="147">
        <v>960</v>
      </c>
      <c r="BK54" s="147">
        <v>1165</v>
      </c>
      <c r="BL54" s="147">
        <v>1620</v>
      </c>
      <c r="BM54" s="152">
        <v>1954</v>
      </c>
      <c r="BO54" s="150" t="s">
        <v>131</v>
      </c>
      <c r="BP54" s="151">
        <v>806</v>
      </c>
      <c r="BQ54" s="147">
        <v>960</v>
      </c>
      <c r="BR54" s="147">
        <v>1165</v>
      </c>
      <c r="BS54" s="147">
        <v>1460</v>
      </c>
      <c r="BT54" s="152">
        <v>1628</v>
      </c>
      <c r="BV54" s="150" t="s">
        <v>131</v>
      </c>
      <c r="BW54" s="151">
        <v>806</v>
      </c>
      <c r="BX54" s="147">
        <v>960</v>
      </c>
      <c r="BY54" s="147">
        <v>1165</v>
      </c>
      <c r="BZ54" s="147">
        <v>1620</v>
      </c>
      <c r="CA54" s="152">
        <v>1954</v>
      </c>
    </row>
    <row r="55" spans="1:79" s="157" customFormat="1" x14ac:dyDescent="0.25">
      <c r="A55" s="153" t="s">
        <v>132</v>
      </c>
      <c r="B55" s="497">
        <v>50750</v>
      </c>
      <c r="C55" s="154">
        <v>375</v>
      </c>
      <c r="D55" s="155">
        <v>401</v>
      </c>
      <c r="E55" s="155">
        <v>482</v>
      </c>
      <c r="F55" s="155">
        <v>557</v>
      </c>
      <c r="G55" s="156">
        <v>621</v>
      </c>
      <c r="H55" s="154">
        <v>562</v>
      </c>
      <c r="I55" s="155">
        <v>602</v>
      </c>
      <c r="J55" s="155">
        <v>723</v>
      </c>
      <c r="K55" s="155">
        <v>835</v>
      </c>
      <c r="L55" s="155">
        <v>932</v>
      </c>
      <c r="M55" s="154">
        <v>750</v>
      </c>
      <c r="N55" s="155">
        <v>803</v>
      </c>
      <c r="O55" s="155">
        <v>964</v>
      </c>
      <c r="P55" s="155">
        <v>1114</v>
      </c>
      <c r="Q55" s="156">
        <v>1243</v>
      </c>
      <c r="R55" s="154">
        <v>937</v>
      </c>
      <c r="S55" s="155">
        <v>1004</v>
      </c>
      <c r="T55" s="155">
        <v>1205</v>
      </c>
      <c r="U55" s="155">
        <v>1392</v>
      </c>
      <c r="V55" s="155">
        <v>1553</v>
      </c>
      <c r="W55" s="154">
        <v>1125</v>
      </c>
      <c r="X55" s="155">
        <v>1205</v>
      </c>
      <c r="Y55" s="155">
        <v>1446</v>
      </c>
      <c r="Z55" s="155">
        <v>1671</v>
      </c>
      <c r="AA55" s="156">
        <v>1864</v>
      </c>
      <c r="AB55" s="154">
        <v>1312</v>
      </c>
      <c r="AC55" s="155">
        <v>1406</v>
      </c>
      <c r="AD55" s="155">
        <v>1687</v>
      </c>
      <c r="AE55" s="155">
        <v>1949</v>
      </c>
      <c r="AF55" s="156">
        <v>2175</v>
      </c>
      <c r="AG55" s="154">
        <v>1500</v>
      </c>
      <c r="AH55" s="155">
        <v>1607</v>
      </c>
      <c r="AI55" s="155">
        <v>1928</v>
      </c>
      <c r="AJ55" s="155">
        <v>2228</v>
      </c>
      <c r="AK55" s="156">
        <v>2486</v>
      </c>
      <c r="AL55"/>
      <c r="AM55" s="154">
        <v>563</v>
      </c>
      <c r="AN55" s="155">
        <v>603</v>
      </c>
      <c r="AO55" s="155">
        <v>723</v>
      </c>
      <c r="AP55" s="155">
        <v>896</v>
      </c>
      <c r="AQ55" s="156">
        <v>1109</v>
      </c>
      <c r="AR55"/>
      <c r="AS55" s="154">
        <v>562</v>
      </c>
      <c r="AT55" s="155">
        <v>602</v>
      </c>
      <c r="AU55" s="155">
        <v>723</v>
      </c>
      <c r="AV55" s="155">
        <v>896</v>
      </c>
      <c r="AW55" s="156">
        <v>1109</v>
      </c>
      <c r="AX55" s="154">
        <v>937</v>
      </c>
      <c r="AY55" s="155">
        <v>1004</v>
      </c>
      <c r="AZ55" s="155">
        <v>1205</v>
      </c>
      <c r="BA55" s="155">
        <v>1392</v>
      </c>
      <c r="BB55" s="156">
        <v>1553</v>
      </c>
      <c r="BC55" s="154">
        <v>1500</v>
      </c>
      <c r="BD55" s="155">
        <v>1607</v>
      </c>
      <c r="BE55" s="155">
        <v>1928</v>
      </c>
      <c r="BF55" s="155">
        <v>2228</v>
      </c>
      <c r="BG55" s="156">
        <v>2486</v>
      </c>
      <c r="BH55"/>
      <c r="BI55" s="154">
        <v>760</v>
      </c>
      <c r="BJ55" s="155">
        <v>796</v>
      </c>
      <c r="BK55" s="155">
        <v>873</v>
      </c>
      <c r="BL55" s="155">
        <v>1214</v>
      </c>
      <c r="BM55" s="156">
        <v>1464</v>
      </c>
      <c r="BN55"/>
      <c r="BO55" s="153" t="s">
        <v>132</v>
      </c>
      <c r="BP55" s="154">
        <v>760</v>
      </c>
      <c r="BQ55" s="155">
        <v>796</v>
      </c>
      <c r="BR55" s="155">
        <v>873</v>
      </c>
      <c r="BS55" s="155">
        <v>1214</v>
      </c>
      <c r="BT55" s="156">
        <v>1464</v>
      </c>
      <c r="BU55"/>
      <c r="BV55" s="153" t="s">
        <v>132</v>
      </c>
      <c r="BW55" s="154">
        <v>760</v>
      </c>
      <c r="BX55" s="155">
        <v>796</v>
      </c>
      <c r="BY55" s="155">
        <v>873</v>
      </c>
      <c r="BZ55" s="155">
        <v>1214</v>
      </c>
      <c r="CA55" s="156">
        <v>1464</v>
      </c>
    </row>
    <row r="56" spans="1:79" ht="15.75" thickBot="1" x14ac:dyDescent="0.3">
      <c r="A56" s="158" t="s">
        <v>133</v>
      </c>
      <c r="B56" s="498">
        <v>55700</v>
      </c>
      <c r="C56" s="159">
        <v>389</v>
      </c>
      <c r="D56" s="160">
        <v>417</v>
      </c>
      <c r="E56" s="160">
        <v>500</v>
      </c>
      <c r="F56" s="160">
        <v>578</v>
      </c>
      <c r="G56" s="161">
        <v>645</v>
      </c>
      <c r="H56" s="159">
        <v>584</v>
      </c>
      <c r="I56" s="160">
        <v>625</v>
      </c>
      <c r="J56" s="160">
        <v>750</v>
      </c>
      <c r="K56" s="160">
        <v>867</v>
      </c>
      <c r="L56" s="160">
        <v>967</v>
      </c>
      <c r="M56" s="159">
        <v>779</v>
      </c>
      <c r="N56" s="160">
        <v>834</v>
      </c>
      <c r="O56" s="160">
        <v>1001</v>
      </c>
      <c r="P56" s="160">
        <v>1156</v>
      </c>
      <c r="Q56" s="161">
        <v>1290</v>
      </c>
      <c r="R56" s="159">
        <v>973</v>
      </c>
      <c r="S56" s="160">
        <v>1043</v>
      </c>
      <c r="T56" s="160">
        <v>1251</v>
      </c>
      <c r="U56" s="160">
        <v>1445</v>
      </c>
      <c r="V56" s="160">
        <v>1612</v>
      </c>
      <c r="W56" s="159">
        <v>1168</v>
      </c>
      <c r="X56" s="160">
        <v>1251</v>
      </c>
      <c r="Y56" s="160">
        <v>1501</v>
      </c>
      <c r="Z56" s="160">
        <v>1734</v>
      </c>
      <c r="AA56" s="161">
        <v>1935</v>
      </c>
      <c r="AB56" s="159">
        <v>1363</v>
      </c>
      <c r="AC56" s="160">
        <v>1460</v>
      </c>
      <c r="AD56" s="160">
        <v>1751</v>
      </c>
      <c r="AE56" s="160">
        <v>2023</v>
      </c>
      <c r="AF56" s="161">
        <v>2257</v>
      </c>
      <c r="AG56" s="159">
        <v>1558</v>
      </c>
      <c r="AH56" s="160">
        <v>1669</v>
      </c>
      <c r="AI56" s="160">
        <v>2002</v>
      </c>
      <c r="AJ56" s="160">
        <v>2313</v>
      </c>
      <c r="AK56" s="161">
        <v>2580</v>
      </c>
      <c r="AM56" s="159">
        <v>583</v>
      </c>
      <c r="AN56" s="160">
        <v>625</v>
      </c>
      <c r="AO56" s="160">
        <v>751</v>
      </c>
      <c r="AP56" s="160">
        <v>896</v>
      </c>
      <c r="AQ56" s="161">
        <v>1109</v>
      </c>
      <c r="AS56" s="159">
        <v>584</v>
      </c>
      <c r="AT56" s="160">
        <v>625</v>
      </c>
      <c r="AU56" s="160">
        <v>750</v>
      </c>
      <c r="AV56" s="160">
        <v>900</v>
      </c>
      <c r="AW56" s="161">
        <v>1109</v>
      </c>
      <c r="AX56" s="159">
        <v>973</v>
      </c>
      <c r="AY56" s="160">
        <v>1043</v>
      </c>
      <c r="AZ56" s="160">
        <v>1251</v>
      </c>
      <c r="BA56" s="160">
        <v>1445</v>
      </c>
      <c r="BB56" s="161">
        <v>1612</v>
      </c>
      <c r="BC56" s="159">
        <v>1558</v>
      </c>
      <c r="BD56" s="160">
        <v>1669</v>
      </c>
      <c r="BE56" s="160">
        <v>2002</v>
      </c>
      <c r="BF56" s="160">
        <v>2313</v>
      </c>
      <c r="BG56" s="161">
        <v>2580</v>
      </c>
      <c r="BI56" s="159">
        <v>1042</v>
      </c>
      <c r="BJ56" s="160">
        <v>1068</v>
      </c>
      <c r="BK56" s="160">
        <v>1196</v>
      </c>
      <c r="BL56" s="160">
        <v>1578</v>
      </c>
      <c r="BM56" s="161">
        <v>1745</v>
      </c>
      <c r="BO56" s="158" t="s">
        <v>133</v>
      </c>
      <c r="BP56" s="159">
        <v>988</v>
      </c>
      <c r="BQ56" s="160">
        <v>1059</v>
      </c>
      <c r="BR56" s="160">
        <v>1196</v>
      </c>
      <c r="BS56" s="160">
        <v>1469</v>
      </c>
      <c r="BT56" s="161">
        <v>1638</v>
      </c>
      <c r="BV56" s="158" t="s">
        <v>133</v>
      </c>
      <c r="BW56" s="159">
        <v>1042</v>
      </c>
      <c r="BX56" s="160">
        <v>1068</v>
      </c>
      <c r="BY56" s="160">
        <v>1196</v>
      </c>
      <c r="BZ56" s="160">
        <v>1578</v>
      </c>
      <c r="CA56" s="161">
        <v>1745</v>
      </c>
    </row>
    <row r="57" spans="1:79" ht="15.75" thickBot="1" x14ac:dyDescent="0.3"/>
    <row r="58" spans="1:79" ht="16.5" thickBot="1" x14ac:dyDescent="0.3">
      <c r="A58" s="1214" t="s">
        <v>936</v>
      </c>
      <c r="B58" s="1215"/>
      <c r="C58" s="499">
        <v>15960</v>
      </c>
      <c r="D58" s="500">
        <v>21640</v>
      </c>
      <c r="E58" s="500">
        <v>27320</v>
      </c>
      <c r="F58" s="500">
        <v>33000</v>
      </c>
      <c r="G58" s="500">
        <v>38680</v>
      </c>
      <c r="H58" s="500">
        <v>44360</v>
      </c>
      <c r="I58" s="500">
        <v>50040</v>
      </c>
      <c r="J58" s="501">
        <v>55720</v>
      </c>
    </row>
    <row r="59" spans="1:79" ht="15.75" thickBot="1" x14ac:dyDescent="0.3"/>
    <row r="60" spans="1:79" ht="16.5" thickBot="1" x14ac:dyDescent="0.3">
      <c r="A60" s="1214" t="s">
        <v>958</v>
      </c>
      <c r="B60" s="1215"/>
      <c r="C60" s="526">
        <v>106800</v>
      </c>
    </row>
    <row r="61" spans="1:79" ht="16.5" thickBot="1" x14ac:dyDescent="0.3">
      <c r="D61" s="527"/>
      <c r="E61" s="527"/>
    </row>
    <row r="62" spans="1:79" ht="15" customHeight="1" x14ac:dyDescent="0.25">
      <c r="B62" s="1210" t="s">
        <v>1058</v>
      </c>
      <c r="C62" s="1211"/>
      <c r="D62" s="626"/>
      <c r="E62" s="626"/>
    </row>
    <row r="63" spans="1:79" ht="15.75" thickBot="1" x14ac:dyDescent="0.3">
      <c r="B63" s="1212"/>
      <c r="C63" s="1213"/>
      <c r="D63" s="626"/>
      <c r="E63" s="626"/>
    </row>
    <row r="64" spans="1:79" ht="15.75" x14ac:dyDescent="0.25">
      <c r="A64" s="459" t="s">
        <v>972</v>
      </c>
      <c r="B64" s="549" t="s">
        <v>976</v>
      </c>
      <c r="C64" s="595" t="s">
        <v>629</v>
      </c>
      <c r="D64" s="627"/>
      <c r="E64" s="627"/>
    </row>
    <row r="65" spans="1:5" x14ac:dyDescent="0.25">
      <c r="A65" s="542" t="s">
        <v>57</v>
      </c>
      <c r="B65" s="465">
        <f>$C78*$B$72</f>
        <v>191973.6</v>
      </c>
      <c r="C65" s="296">
        <f>$C78*$B$73</f>
        <v>191973.6</v>
      </c>
      <c r="D65" s="628"/>
      <c r="E65" s="628"/>
    </row>
    <row r="66" spans="1:5" x14ac:dyDescent="0.25">
      <c r="A66" s="544">
        <v>1</v>
      </c>
      <c r="B66" s="1219">
        <f>$C79*$B$72</f>
        <v>220068</v>
      </c>
      <c r="C66" s="1220">
        <f>$C79*$B$73</f>
        <v>220068</v>
      </c>
      <c r="D66" s="628"/>
      <c r="E66" s="628"/>
    </row>
    <row r="67" spans="1:5" x14ac:dyDescent="0.25">
      <c r="A67" s="542">
        <v>2</v>
      </c>
      <c r="B67" s="465">
        <f>$C80*$B$72</f>
        <v>267609.59999999998</v>
      </c>
      <c r="C67" s="296">
        <f>$C80*$B$73</f>
        <v>267609.59999999998</v>
      </c>
      <c r="D67" s="628"/>
      <c r="E67" s="628"/>
    </row>
    <row r="68" spans="1:5" x14ac:dyDescent="0.25">
      <c r="A68" s="544">
        <v>3</v>
      </c>
      <c r="B68" s="1219">
        <f>$C81*$B$72</f>
        <v>346202.39999999997</v>
      </c>
      <c r="C68" s="1220">
        <f>$C81*$B$73</f>
        <v>346202.39999999997</v>
      </c>
      <c r="D68" s="628"/>
      <c r="E68" s="628"/>
    </row>
    <row r="69" spans="1:5" ht="15.75" thickBot="1" x14ac:dyDescent="0.3">
      <c r="A69" s="546">
        <v>4</v>
      </c>
      <c r="B69" s="1221">
        <f>$C82*$B$72</f>
        <v>380018.39999999997</v>
      </c>
      <c r="C69" s="1222">
        <f>$C82*$B$73</f>
        <v>380018.39999999997</v>
      </c>
      <c r="D69" s="628"/>
      <c r="E69" s="628"/>
    </row>
    <row r="71" spans="1:5" ht="15.75" thickBot="1" x14ac:dyDescent="0.3">
      <c r="A71" s="1218" t="s">
        <v>977</v>
      </c>
      <c r="B71" s="1218"/>
      <c r="C71" s="1218"/>
      <c r="D71" s="1218"/>
    </row>
    <row r="72" spans="1:5" x14ac:dyDescent="0.25">
      <c r="A72" s="550" t="s">
        <v>976</v>
      </c>
      <c r="B72" s="551">
        <v>2.4</v>
      </c>
    </row>
    <row r="73" spans="1:5" ht="15.75" thickBot="1" x14ac:dyDescent="0.3">
      <c r="A73" s="552" t="s">
        <v>629</v>
      </c>
      <c r="B73" s="553">
        <v>2.4</v>
      </c>
    </row>
    <row r="75" spans="1:5" x14ac:dyDescent="0.25">
      <c r="A75" s="147" t="s">
        <v>380</v>
      </c>
      <c r="B75" s="148">
        <v>46153</v>
      </c>
    </row>
    <row r="76" spans="1:5" ht="15.75" thickBot="1" x14ac:dyDescent="0.3">
      <c r="A76" s="1190" t="s">
        <v>975</v>
      </c>
      <c r="B76" s="1190"/>
      <c r="C76" s="1190"/>
      <c r="D76" s="237"/>
    </row>
    <row r="77" spans="1:5" ht="15.75" x14ac:dyDescent="0.25">
      <c r="A77" s="459" t="s">
        <v>972</v>
      </c>
      <c r="B77" s="460" t="s">
        <v>973</v>
      </c>
      <c r="C77" s="461" t="s">
        <v>974</v>
      </c>
    </row>
    <row r="78" spans="1:5" x14ac:dyDescent="0.25">
      <c r="A78" s="542" t="s">
        <v>57</v>
      </c>
      <c r="B78" s="465">
        <v>76007</v>
      </c>
      <c r="C78" s="296">
        <v>79989</v>
      </c>
    </row>
    <row r="79" spans="1:5" x14ac:dyDescent="0.25">
      <c r="A79" s="544">
        <v>1</v>
      </c>
      <c r="B79" s="1219">
        <v>87640</v>
      </c>
      <c r="C79" s="1220">
        <v>91695</v>
      </c>
    </row>
    <row r="80" spans="1:5" x14ac:dyDescent="0.25">
      <c r="A80" s="542">
        <v>2</v>
      </c>
      <c r="B80" s="465">
        <v>105696</v>
      </c>
      <c r="C80" s="296">
        <v>111504</v>
      </c>
    </row>
    <row r="81" spans="1:3" x14ac:dyDescent="0.25">
      <c r="A81" s="544">
        <v>3</v>
      </c>
      <c r="B81" s="1219">
        <v>135295</v>
      </c>
      <c r="C81" s="1220">
        <v>144251</v>
      </c>
    </row>
    <row r="82" spans="1:3" ht="15.75" thickBot="1" x14ac:dyDescent="0.3">
      <c r="A82" s="546">
        <v>4</v>
      </c>
      <c r="B82" s="1221">
        <v>150725</v>
      </c>
      <c r="C82" s="1222">
        <v>158341</v>
      </c>
    </row>
    <row r="84" spans="1:3" ht="15.75" thickBot="1" x14ac:dyDescent="0.3">
      <c r="A84" s="879" t="s">
        <v>1100</v>
      </c>
      <c r="B84" s="879"/>
      <c r="C84" s="879"/>
    </row>
    <row r="85" spans="1:3" ht="15.75" thickBot="1" x14ac:dyDescent="0.3">
      <c r="A85" s="525" t="s">
        <v>1101</v>
      </c>
      <c r="B85" s="551">
        <v>1.1000000000000001</v>
      </c>
      <c r="C85" s="629"/>
    </row>
    <row r="86" spans="1:3" ht="15.75" x14ac:dyDescent="0.25">
      <c r="A86" s="630" t="s">
        <v>972</v>
      </c>
      <c r="B86" s="549" t="s">
        <v>976</v>
      </c>
      <c r="C86" s="595" t="s">
        <v>629</v>
      </c>
    </row>
    <row r="87" spans="1:3" x14ac:dyDescent="0.25">
      <c r="A87" s="542" t="s">
        <v>57</v>
      </c>
      <c r="B87" s="465">
        <f t="shared" ref="B87:C91" si="0">ROUNDDOWN(B65*$B$85,0)</f>
        <v>211170</v>
      </c>
      <c r="C87" s="296">
        <f t="shared" si="0"/>
        <v>211170</v>
      </c>
    </row>
    <row r="88" spans="1:3" x14ac:dyDescent="0.25">
      <c r="A88" s="544">
        <v>1</v>
      </c>
      <c r="B88" s="1219">
        <f t="shared" si="0"/>
        <v>242074</v>
      </c>
      <c r="C88" s="1220">
        <f t="shared" si="0"/>
        <v>242074</v>
      </c>
    </row>
    <row r="89" spans="1:3" x14ac:dyDescent="0.25">
      <c r="A89" s="542">
        <v>2</v>
      </c>
      <c r="B89" s="465">
        <f t="shared" si="0"/>
        <v>294370</v>
      </c>
      <c r="C89" s="296">
        <f t="shared" si="0"/>
        <v>294370</v>
      </c>
    </row>
    <row r="90" spans="1:3" x14ac:dyDescent="0.25">
      <c r="A90" s="544">
        <v>3</v>
      </c>
      <c r="B90" s="1219">
        <f t="shared" si="0"/>
        <v>380822</v>
      </c>
      <c r="C90" s="1220">
        <f t="shared" si="0"/>
        <v>380822</v>
      </c>
    </row>
    <row r="91" spans="1:3" ht="15.75" thickBot="1" x14ac:dyDescent="0.3">
      <c r="A91" s="546">
        <v>4</v>
      </c>
      <c r="B91" s="1221">
        <f t="shared" si="0"/>
        <v>418020</v>
      </c>
      <c r="C91" s="1222">
        <f t="shared" si="0"/>
        <v>418020</v>
      </c>
    </row>
  </sheetData>
  <sheetProtection algorithmName="SHA-512" hashValue="JeqQR83Nt/MNlEmHw3irLCxPqFCiXzAut5o8fC4MtLmYinysNJPRhgw4rTDnHx6v+bmggehwwgya7zwEQP5nsg==" saltValue="TRV/mCtpRlqfXsHqKPK+xA==" spinCount="100000" sheet="1" objects="1" scenarios="1"/>
  <mergeCells count="91">
    <mergeCell ref="A84:C84"/>
    <mergeCell ref="BI1:BM1"/>
    <mergeCell ref="C1:G1"/>
    <mergeCell ref="H1:L1"/>
    <mergeCell ref="M1:Q1"/>
    <mergeCell ref="R1:V1"/>
    <mergeCell ref="W1:AA1"/>
    <mergeCell ref="AB1:AF1"/>
    <mergeCell ref="O2:O3"/>
    <mergeCell ref="BP1:BT1"/>
    <mergeCell ref="BW1:CA1"/>
    <mergeCell ref="B2:B3"/>
    <mergeCell ref="C2:C3"/>
    <mergeCell ref="D2:D3"/>
    <mergeCell ref="E2:E3"/>
    <mergeCell ref="F2:F3"/>
    <mergeCell ref="G2:G3"/>
    <mergeCell ref="H2:H3"/>
    <mergeCell ref="I2:I3"/>
    <mergeCell ref="AG1:AK1"/>
    <mergeCell ref="AM1:AQ1"/>
    <mergeCell ref="AS1:AW1"/>
    <mergeCell ref="AX1:BB1"/>
    <mergeCell ref="BC1:BG1"/>
    <mergeCell ref="J2:J3"/>
    <mergeCell ref="K2:K3"/>
    <mergeCell ref="L2:L3"/>
    <mergeCell ref="M2:M3"/>
    <mergeCell ref="N2:N3"/>
    <mergeCell ref="AA2:AA3"/>
    <mergeCell ref="P2:P3"/>
    <mergeCell ref="Q2:Q3"/>
    <mergeCell ref="R2:R3"/>
    <mergeCell ref="S2:S3"/>
    <mergeCell ref="T2:T3"/>
    <mergeCell ref="U2:U3"/>
    <mergeCell ref="V2:V3"/>
    <mergeCell ref="W2:W3"/>
    <mergeCell ref="X2:X3"/>
    <mergeCell ref="Y2:Y3"/>
    <mergeCell ref="Z2:Z3"/>
    <mergeCell ref="AN2:AN3"/>
    <mergeCell ref="AB2:AB3"/>
    <mergeCell ref="AC2:AC3"/>
    <mergeCell ref="AD2:AD3"/>
    <mergeCell ref="AE2:AE3"/>
    <mergeCell ref="AF2:AF3"/>
    <mergeCell ref="AG2:AG3"/>
    <mergeCell ref="AH2:AH3"/>
    <mergeCell ref="AI2:AI3"/>
    <mergeCell ref="AJ2:AJ3"/>
    <mergeCell ref="AK2:AK3"/>
    <mergeCell ref="AM2:AM3"/>
    <mergeCell ref="BA2:BA3"/>
    <mergeCell ref="AO2:AO3"/>
    <mergeCell ref="AP2:AP3"/>
    <mergeCell ref="AQ2:AQ3"/>
    <mergeCell ref="AS2:AS3"/>
    <mergeCell ref="AT2:AT3"/>
    <mergeCell ref="AU2:AU3"/>
    <mergeCell ref="AV2:AV3"/>
    <mergeCell ref="AW2:AW3"/>
    <mergeCell ref="AX2:AX3"/>
    <mergeCell ref="AY2:AY3"/>
    <mergeCell ref="AZ2:AZ3"/>
    <mergeCell ref="BK2:BK3"/>
    <mergeCell ref="BL2:BL3"/>
    <mergeCell ref="BM2:BM3"/>
    <mergeCell ref="BP2:BP3"/>
    <mergeCell ref="BB2:BB3"/>
    <mergeCell ref="BC2:BC3"/>
    <mergeCell ref="BD2:BD3"/>
    <mergeCell ref="BE2:BE3"/>
    <mergeCell ref="BF2:BF3"/>
    <mergeCell ref="BG2:BG3"/>
    <mergeCell ref="A71:D71"/>
    <mergeCell ref="A76:C76"/>
    <mergeCell ref="BY2:BY3"/>
    <mergeCell ref="BZ2:BZ3"/>
    <mergeCell ref="CA2:CA3"/>
    <mergeCell ref="A58:B58"/>
    <mergeCell ref="A60:B60"/>
    <mergeCell ref="B62:C63"/>
    <mergeCell ref="BQ2:BQ3"/>
    <mergeCell ref="BR2:BR3"/>
    <mergeCell ref="BS2:BS3"/>
    <mergeCell ref="BT2:BT3"/>
    <mergeCell ref="BW2:BW3"/>
    <mergeCell ref="BX2:BX3"/>
    <mergeCell ref="BI2:BI3"/>
    <mergeCell ref="BJ2:BJ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DE5FE-6051-47B2-90B9-CE45B0EB516D}">
  <dimension ref="A1:BB191"/>
  <sheetViews>
    <sheetView topLeftCell="B1" zoomScaleNormal="100" zoomScaleSheetLayoutView="70" workbookViewId="0">
      <selection activeCell="C5" sqref="C5:F5"/>
    </sheetView>
  </sheetViews>
  <sheetFormatPr defaultRowHeight="15" x14ac:dyDescent="0.25"/>
  <cols>
    <col min="1" max="1" width="4.28515625" customWidth="1"/>
    <col min="2" max="2" width="17.85546875" bestFit="1" customWidth="1"/>
    <col min="3" max="4" width="11.7109375" customWidth="1"/>
    <col min="5" max="5" width="1.7109375" customWidth="1"/>
    <col min="6" max="6" width="12.140625" customWidth="1"/>
    <col min="8" max="8" width="1.7109375" customWidth="1"/>
    <col min="9" max="9" width="17.7109375" customWidth="1"/>
    <col min="10" max="10" width="7" bestFit="1" customWidth="1"/>
    <col min="11" max="11" width="8.7109375" customWidth="1"/>
    <col min="13" max="13" width="26" bestFit="1" customWidth="1"/>
    <col min="16" max="16" width="17.42578125" bestFit="1" customWidth="1"/>
    <col min="17" max="17" width="53.42578125" bestFit="1" customWidth="1"/>
    <col min="18" max="18" width="17" bestFit="1" customWidth="1"/>
    <col min="19" max="19" width="12.28515625" bestFit="1" customWidth="1"/>
    <col min="20" max="20" width="41.7109375" bestFit="1" customWidth="1"/>
    <col min="21" max="21" width="6.7109375" bestFit="1" customWidth="1"/>
    <col min="22" max="22" width="22.140625" bestFit="1" customWidth="1"/>
    <col min="23" max="23" width="13.7109375" bestFit="1" customWidth="1"/>
    <col min="24" max="24" width="5.5703125" bestFit="1" customWidth="1"/>
    <col min="25" max="25" width="6" bestFit="1" customWidth="1"/>
    <col min="26" max="27" width="15.7109375" bestFit="1" customWidth="1"/>
    <col min="28" max="28" width="15" bestFit="1" customWidth="1"/>
    <col min="29" max="29" width="15.7109375" customWidth="1"/>
    <col min="30" max="30" width="16.28515625" bestFit="1" customWidth="1"/>
    <col min="31" max="31" width="18.7109375" bestFit="1" customWidth="1"/>
    <col min="32" max="32" width="15.85546875" bestFit="1" customWidth="1"/>
    <col min="33" max="33" width="17" bestFit="1" customWidth="1"/>
    <col min="34" max="34" width="15.7109375" bestFit="1" customWidth="1"/>
    <col min="35" max="35" width="16.5703125" bestFit="1" customWidth="1"/>
    <col min="36" max="36" width="23.140625" bestFit="1" customWidth="1"/>
    <col min="37" max="37" width="20.28515625" bestFit="1" customWidth="1"/>
    <col min="38" max="38" width="22.7109375" bestFit="1" customWidth="1"/>
    <col min="39" max="39" width="21" bestFit="1" customWidth="1"/>
    <col min="40" max="40" width="27.140625" bestFit="1" customWidth="1"/>
  </cols>
  <sheetData>
    <row r="1" spans="1:11" ht="18.75" x14ac:dyDescent="0.3">
      <c r="A1" s="733" t="s">
        <v>10</v>
      </c>
      <c r="B1" s="733"/>
      <c r="C1" s="733"/>
      <c r="D1" s="733"/>
      <c r="E1" s="733"/>
      <c r="F1" s="733"/>
      <c r="G1" s="733"/>
      <c r="H1" s="733"/>
      <c r="I1" s="733"/>
      <c r="J1" s="733"/>
      <c r="K1" s="733"/>
    </row>
    <row r="2" spans="1:11" ht="9.9499999999999993" customHeight="1" thickBot="1" x14ac:dyDescent="0.4">
      <c r="A2" s="298"/>
      <c r="B2" s="298"/>
      <c r="C2" s="298"/>
      <c r="D2" s="298"/>
      <c r="E2" s="298"/>
      <c r="F2" s="298"/>
      <c r="G2" s="298"/>
      <c r="H2" s="298"/>
      <c r="I2" s="298"/>
    </row>
    <row r="3" spans="1:11" ht="15" customHeight="1" thickBot="1" x14ac:dyDescent="0.3">
      <c r="A3" s="740" t="s">
        <v>28</v>
      </c>
      <c r="B3" s="741"/>
      <c r="C3" s="741"/>
      <c r="D3" s="741"/>
      <c r="E3" s="741"/>
      <c r="F3" s="741"/>
      <c r="G3" s="741"/>
      <c r="H3" s="741"/>
      <c r="I3" s="741"/>
      <c r="J3" s="741"/>
      <c r="K3" s="742"/>
    </row>
    <row r="4" spans="1:11" ht="9.9499999999999993" customHeight="1" x14ac:dyDescent="0.25">
      <c r="A4" s="299"/>
      <c r="B4" s="299"/>
      <c r="C4" s="299"/>
      <c r="D4" s="300"/>
      <c r="E4" s="300"/>
      <c r="F4" s="300"/>
      <c r="G4" s="300"/>
      <c r="H4" s="300"/>
      <c r="I4" s="301"/>
    </row>
    <row r="5" spans="1:11" x14ac:dyDescent="0.25">
      <c r="A5" s="679" t="s">
        <v>11</v>
      </c>
      <c r="B5" s="693"/>
      <c r="C5" s="748"/>
      <c r="D5" s="749"/>
      <c r="E5" s="749"/>
      <c r="F5" s="750"/>
      <c r="G5" s="147"/>
      <c r="H5" s="147"/>
    </row>
    <row r="6" spans="1:11" x14ac:dyDescent="0.25">
      <c r="A6" s="679" t="s">
        <v>12</v>
      </c>
      <c r="B6" s="693"/>
      <c r="C6" s="694"/>
      <c r="D6" s="695"/>
      <c r="E6" s="695"/>
      <c r="F6" s="695"/>
      <c r="G6" s="695"/>
      <c r="H6" s="695"/>
      <c r="I6" s="695"/>
      <c r="J6" s="695"/>
      <c r="K6" s="696"/>
    </row>
    <row r="7" spans="1:11" ht="9.9499999999999993" customHeight="1" x14ac:dyDescent="0.25">
      <c r="B7" s="109"/>
      <c r="C7" s="302"/>
      <c r="D7" s="302"/>
      <c r="E7" s="302"/>
      <c r="G7" s="147"/>
      <c r="H7" s="147"/>
    </row>
    <row r="8" spans="1:11" x14ac:dyDescent="0.25">
      <c r="A8" s="679" t="s">
        <v>386</v>
      </c>
      <c r="B8" s="693"/>
      <c r="C8" s="694"/>
      <c r="D8" s="695"/>
      <c r="E8" s="695"/>
      <c r="F8" s="695"/>
      <c r="G8" s="695"/>
      <c r="H8" s="695"/>
      <c r="I8" s="695"/>
      <c r="J8" s="695"/>
      <c r="K8" s="696"/>
    </row>
    <row r="9" spans="1:11" ht="9.9499999999999993" customHeight="1" x14ac:dyDescent="0.25">
      <c r="A9" s="109"/>
      <c r="B9" s="109"/>
      <c r="C9" s="303"/>
      <c r="D9" s="304"/>
      <c r="E9" s="304"/>
      <c r="F9" s="305"/>
      <c r="G9" s="303"/>
      <c r="H9" s="305"/>
      <c r="I9" s="305"/>
      <c r="J9" s="217"/>
    </row>
    <row r="10" spans="1:11" x14ac:dyDescent="0.25">
      <c r="A10" s="679" t="s">
        <v>701</v>
      </c>
      <c r="B10" s="693"/>
      <c r="C10" s="72"/>
      <c r="D10" s="707" t="s">
        <v>37</v>
      </c>
      <c r="E10" s="679"/>
      <c r="F10" s="693"/>
      <c r="G10" s="72"/>
      <c r="H10" s="306"/>
      <c r="I10" s="307"/>
      <c r="J10" s="217"/>
    </row>
    <row r="11" spans="1:11" x14ac:dyDescent="0.25">
      <c r="A11" s="679" t="s">
        <v>14</v>
      </c>
      <c r="B11" s="693"/>
      <c r="C11" s="700"/>
      <c r="D11" s="701"/>
      <c r="E11" s="701"/>
      <c r="F11" s="701"/>
      <c r="G11" s="701"/>
      <c r="H11" s="701"/>
      <c r="I11" s="701"/>
      <c r="J11" s="701"/>
      <c r="K11" s="702"/>
    </row>
    <row r="12" spans="1:11" x14ac:dyDescent="0.25">
      <c r="A12" s="679" t="s">
        <v>483</v>
      </c>
      <c r="B12" s="693"/>
      <c r="C12" s="703"/>
      <c r="D12" s="704"/>
      <c r="E12" s="705"/>
      <c r="F12" s="706"/>
      <c r="G12" s="744" t="s">
        <v>484</v>
      </c>
      <c r="H12" s="744"/>
      <c r="I12" s="308" t="s">
        <v>15</v>
      </c>
      <c r="J12" s="309" t="s">
        <v>482</v>
      </c>
      <c r="K12" s="90"/>
    </row>
    <row r="13" spans="1:11" x14ac:dyDescent="0.25">
      <c r="A13" s="679" t="s">
        <v>78</v>
      </c>
      <c r="B13" s="693"/>
      <c r="C13" s="694"/>
      <c r="D13" s="695"/>
      <c r="E13" s="696"/>
      <c r="F13" s="310" t="s">
        <v>134</v>
      </c>
      <c r="G13" s="220" t="str">
        <f>_xlfn.IFNA(VLOOKUP($C$13,$N$131:$O$183,2,FALSE), "")</f>
        <v/>
      </c>
      <c r="H13" s="107"/>
      <c r="I13" s="311"/>
      <c r="J13" s="217"/>
    </row>
    <row r="14" spans="1:11" x14ac:dyDescent="0.25">
      <c r="A14" s="734" t="s">
        <v>16</v>
      </c>
      <c r="B14" s="735"/>
      <c r="C14" s="71"/>
      <c r="D14" s="697" t="s">
        <v>1046</v>
      </c>
      <c r="E14" s="698"/>
      <c r="F14" s="699"/>
      <c r="G14" s="386"/>
      <c r="H14" s="734" t="s">
        <v>1044</v>
      </c>
      <c r="I14" s="734"/>
      <c r="J14" s="735"/>
      <c r="K14" s="386"/>
    </row>
    <row r="15" spans="1:11" x14ac:dyDescent="0.25">
      <c r="A15" s="679" t="s">
        <v>705</v>
      </c>
      <c r="B15" s="693"/>
      <c r="C15" s="385"/>
      <c r="D15" s="384"/>
      <c r="E15" s="679" t="s">
        <v>706</v>
      </c>
      <c r="F15" s="693"/>
      <c r="G15" s="386"/>
      <c r="H15" s="107"/>
      <c r="I15" s="679" t="s">
        <v>707</v>
      </c>
      <c r="J15" s="693"/>
      <c r="K15" s="386"/>
    </row>
    <row r="16" spans="1:11" ht="9.9499999999999993" customHeight="1" thickBot="1" x14ac:dyDescent="0.3"/>
    <row r="17" spans="1:12" ht="18.75" x14ac:dyDescent="0.25">
      <c r="A17" s="745" t="s">
        <v>485</v>
      </c>
      <c r="B17" s="746"/>
      <c r="C17" s="746"/>
      <c r="D17" s="746"/>
      <c r="E17" s="746"/>
      <c r="F17" s="746"/>
      <c r="G17" s="746"/>
      <c r="H17" s="746"/>
      <c r="I17" s="746"/>
      <c r="J17" s="746"/>
      <c r="K17" s="747"/>
    </row>
    <row r="18" spans="1:12" ht="9.9499999999999993" customHeight="1" x14ac:dyDescent="0.25">
      <c r="A18" s="392"/>
      <c r="B18" s="393"/>
      <c r="C18" s="393"/>
      <c r="D18" s="393"/>
      <c r="E18" s="393"/>
      <c r="F18" s="393"/>
      <c r="G18" s="393"/>
      <c r="H18" s="393"/>
      <c r="I18" s="393"/>
      <c r="J18" s="393"/>
      <c r="K18" s="394"/>
    </row>
    <row r="19" spans="1:12" x14ac:dyDescent="0.25">
      <c r="A19" s="678" t="s">
        <v>23</v>
      </c>
      <c r="B19" s="679"/>
      <c r="C19" s="88"/>
      <c r="E19" s="665" t="s">
        <v>539</v>
      </c>
      <c r="F19" s="665"/>
      <c r="G19" s="665"/>
      <c r="H19" s="665"/>
      <c r="I19" s="136"/>
      <c r="K19" s="312"/>
    </row>
    <row r="20" spans="1:12" ht="15" customHeight="1" x14ac:dyDescent="0.25">
      <c r="A20" s="738" t="s">
        <v>25</v>
      </c>
      <c r="B20" s="739"/>
      <c r="C20" s="737"/>
      <c r="D20" s="737"/>
      <c r="E20" s="737"/>
      <c r="F20" s="737"/>
      <c r="G20" s="737"/>
      <c r="H20" s="313"/>
      <c r="I20" s="652" t="s">
        <v>465</v>
      </c>
      <c r="J20" s="653"/>
      <c r="K20" s="654"/>
      <c r="L20" s="237"/>
    </row>
    <row r="21" spans="1:12" x14ac:dyDescent="0.25">
      <c r="A21" s="677" t="s">
        <v>698</v>
      </c>
      <c r="B21" s="665"/>
      <c r="C21" s="88"/>
      <c r="F21" s="736" t="s">
        <v>542</v>
      </c>
      <c r="G21" s="736"/>
      <c r="H21" s="655"/>
      <c r="I21" s="655"/>
      <c r="J21" s="194" t="s">
        <v>169</v>
      </c>
      <c r="K21" s="314" t="s">
        <v>383</v>
      </c>
    </row>
    <row r="22" spans="1:12" x14ac:dyDescent="0.25">
      <c r="A22" s="678" t="s">
        <v>24</v>
      </c>
      <c r="B22" s="679"/>
      <c r="C22" s="142"/>
      <c r="D22" s="177"/>
      <c r="E22" s="365"/>
      <c r="F22" s="743" t="s">
        <v>461</v>
      </c>
      <c r="G22" s="743"/>
      <c r="H22" s="715" t="s">
        <v>453</v>
      </c>
      <c r="I22" s="715"/>
      <c r="J22" s="315" t="str">
        <f>IF(OR($C$19="No",$C$19=""),"",SUM(COUNTIFS('Project SqFt'!$F$18:$F$87,"20 / 20"),COUNTIFS('Project SqFt'!$M$18:$M$87,"20 / 20"),COUNTIFS('Project SqFt'!$U$18:$U$87,"20 / 20"),COUNTIFS('Project SqFt'!$F$91:$F$160,"20 / 20"),COUNTIFS('Project SqFt'!$M$91:$M$160,"20 / 20"),COUNTIFS('Project SqFt'!$U$91:$U$160,"20 / 20")))</f>
        <v/>
      </c>
      <c r="K22" s="318" t="str">
        <f>IF(OR($C$19="No",$C$19=""),"",SUM(SUMIFS('Project SqFt'!$C$18:$C$87,'Project SqFt'!$F$18:$F$87,"20 / 20"),SUMIFS('Project SqFt'!$K$18:$K$87,'Project SqFt'!$M$18:$M$87,"20 / 20"),SUMIFS('Project SqFt'!$R$18:$R$87,'Project SqFt'!$U$18:$U$87,"20 / 20"),SUMIFS('Project SqFt'!$C$91:$C$160,'Project SqFt'!$F$91:$F$160,"20 / 20"),SUMIFS('Project SqFt'!$K$91:$K$160,'Project SqFt'!$M$91:$M$160,"20 / 20"),SUMIFS('Project SqFt'!$R$91:$R$160,'Project SqFt'!$U$91:$U$160,"20 / 20")))</f>
        <v/>
      </c>
    </row>
    <row r="23" spans="1:12" x14ac:dyDescent="0.25">
      <c r="A23" s="678" t="s">
        <v>1054</v>
      </c>
      <c r="B23" s="679"/>
      <c r="C23" s="767"/>
      <c r="D23" s="768"/>
      <c r="E23" s="769"/>
      <c r="F23" s="743"/>
      <c r="G23" s="743"/>
      <c r="H23" s="715" t="s">
        <v>454</v>
      </c>
      <c r="I23" s="715"/>
      <c r="J23" s="315" t="str">
        <f>IF(OR($C$19="No",$C$19=""),"",SUM(COUNTIFS('Project SqFt'!$F$18:$F$87,"30 / 30"),COUNTIFS('Project SqFt'!$M$18:$M$87,"30 / 30"),COUNTIFS('Project SqFt'!$U$18:$U$87,"30 / 30"),COUNTIFS('Project SqFt'!$F$91:$F$160,"30 / 30"),COUNTIFS('Project SqFt'!$M$91:$M$160,"30 / 30"),COUNTIFS('Project SqFt'!$U$91:$U$160,"30 / 30")))</f>
        <v/>
      </c>
      <c r="K23" s="318" t="str">
        <f>IF(OR($C$19="No",$C$19=""),"",SUM(SUMIFS('Project SqFt'!$C$18:$C$87,'Project SqFt'!$F$18:$F$87,"30 / 30"),SUMIFS('Project SqFt'!$K$18:$K$87,'Project SqFt'!$M$18:$M$87,"30 / 30"),SUMIFS('Project SqFt'!$R$18:$R$87,'Project SqFt'!$U$18:$U$87,"30 / 30"),SUMIFS('Project SqFt'!$C$91:$C$160,'Project SqFt'!$F$91:$F$160,"30 / 30"),SUMIFS('Project SqFt'!$K$91:$K$160,'Project SqFt'!$M$91:$M$160,"30 / 30"),SUMIFS('Project SqFt'!$R$91:$R$160,'Project SqFt'!$U$91:$U$160,"30 / 30")))</f>
        <v/>
      </c>
    </row>
    <row r="24" spans="1:12" x14ac:dyDescent="0.25">
      <c r="A24" s="316"/>
      <c r="E24" s="365"/>
      <c r="F24" s="743"/>
      <c r="G24" s="743"/>
      <c r="H24" s="715" t="s">
        <v>455</v>
      </c>
      <c r="I24" s="715"/>
      <c r="J24" s="315" t="str">
        <f>IF(OR($C$19="No",$C$19=""),"",SUM(COUNTIFS('Project SqFt'!$F$18:$F$87,"40 / 40"),COUNTIFS('Project SqFt'!$M$18:$M$87,"40 / 40"),COUNTIFS('Project SqFt'!$U$18:$U$87,"40 / 40"),COUNTIFS('Project SqFt'!$F$18:$F$87,"40 / Low-HOME"),COUNTIFS('Project SqFt'!$M$18:$M$87,"40 / Low-HOME"),COUNTIFS('Project SqFt'!$U$18:$U$87,"40 / Low-HOME"),COUNTIFS('Project SqFt'!$F$91:$F$160,"40 / 40"),COUNTIFS('Project SqFt'!$M$91:$M$160,"40 / 40"),COUNTIFS('Project SqFt'!$U$91:$U$160,"40 / 40"),COUNTIFS('Project SqFt'!$F$91:$F$160,"40 / Low-HOME"),COUNTIFS('Project SqFt'!$M$91:$M$160,"40 / Low-HOME"),COUNTIFS('Project SqFt'!$U$91:$U$160,"40 / Low-HOME")))</f>
        <v/>
      </c>
      <c r="K24" s="318" t="str">
        <f>IF(OR($C$19="No",$C$19=""),"",SUM(SUMIFS('Project SqFt'!$C$18:$C$87,'Project SqFt'!$F$18:$F$87,"40 / 40"),SUMIFS('Project SqFt'!$K$18:$K$87,'Project SqFt'!$M$18:$M$87,"40 / 40"),SUMIFS('Project SqFt'!$R$18:$R$87,'Project SqFt'!$U$18:$U$87,"40 / 40"),SUMIFS('Project SqFt'!$C$18:$C$87,'Project SqFt'!$F$18:$F$87,"40 / Low-HOME"),SUMIFS('Project SqFt'!$K$18:$K$87,'Project SqFt'!$M$18:$M$87,"40 / Low-HOME"),SUMIFS('Project SqFt'!$R$18:$R$87,'Project SqFt'!$U$18:$U$87,"40 / Low-HOME"),SUMIFS('Project SqFt'!$C$91:$C$160,'Project SqFt'!$F$91:$F$160,"40 / 40"),SUMIFS('Project SqFt'!$K$91:$K$160,'Project SqFt'!$M$91:$M$160,"40 / 40"),SUMIFS('Project SqFt'!$R$91:$R$160,'Project SqFt'!$U$91:$U$160,"40 / 40"),SUMIFS('Project SqFt'!$C$91:$C$160,'Project SqFt'!$F$91:$F$160,"40 / Low-HOME"),SUMIFS('Project SqFt'!$K$91:$K$160,'Project SqFt'!$M$91:$M$160,"40 / Low-HOME"),SUMIFS('Project SqFt'!$R$91:$R$160,'Project SqFt'!$U$91:$U$160,"40 / Low-HOME")))</f>
        <v/>
      </c>
    </row>
    <row r="25" spans="1:12" x14ac:dyDescent="0.25">
      <c r="A25" s="678" t="s">
        <v>26</v>
      </c>
      <c r="B25" s="679"/>
      <c r="C25" s="25"/>
      <c r="D25" s="726" t="str">
        <f>IF(SUM(C25:C27)=0,"",SUM(C25:C27))</f>
        <v/>
      </c>
      <c r="E25" s="642"/>
      <c r="F25" s="743"/>
      <c r="G25" s="743"/>
      <c r="H25" s="715" t="s">
        <v>456</v>
      </c>
      <c r="I25" s="715"/>
      <c r="J25" s="315" t="str">
        <f>IF(OR($C$19="No",$C$19=""),"",SUM(COUNTIFS('Project SqFt'!$F$18:$F$87,"50 / Low-HOME"),COUNTIFS('Project SqFt'!$M$18:$M$87,"50 / Low-HOME"),COUNTIFS('Project SqFt'!$U$18:$U$87,"50 / Low-HOME"),COUNTIFS('Project SqFt'!$F$18:$F$87,"50 / 50"),COUNTIFS('Project SqFt'!$M$18:$M$87,"50 / 50"),COUNTIFS('Project SqFt'!$U$18:$U$87,"50 / 50"),COUNTIFS('Project SqFt'!$F$91:$F$160,"50 / Low-HOME"),COUNTIFS('Project SqFt'!$M$91:$M$160,"50 / Low-HOME"),COUNTIFS('Project SqFt'!$U$91:$U$160,"50 / Low-HOME"),COUNTIFS('Project SqFt'!$F$91:$F$160,"50 / 50"),COUNTIFS('Project SqFt'!$M$91:$M$160,"50 / 50"),COUNTIFS('Project SqFt'!$U$91:$U$160,"50 / 50")))</f>
        <v/>
      </c>
      <c r="K25" s="318" t="str">
        <f>IF(OR($C$19="No",$C$19=""),"",SUM(SUMIFS('Project SqFt'!$C$18:$C$87,'Project SqFt'!$F$18:$F$87,"50 / Low-HOME"),SUMIFS('Project SqFt'!$K$18:$K$87,'Project SqFt'!$M$18:$M$87,"50 / Low-HOME"),SUMIFS('Project SqFt'!$R$18:$R$87,'Project SqFt'!$U$18:$U$87,"50 / Low-HOME"),SUMIFS('Project SqFt'!$C$18:$C$87,'Project SqFt'!$F$18:$F$87,"50 / 50"),SUMIFS('Project SqFt'!$K$18:$K$87,'Project SqFt'!$M$18:$M$87,"50 / 50"),SUMIFS('Project SqFt'!$R$18:$R$87,'Project SqFt'!$U$18:$U$87,"50 / 50"),SUMIFS('Project SqFt'!$C$91:$C$160,'Project SqFt'!$F$91:$F$160,"50 / Low-HOME"),SUMIFS('Project SqFt'!$K$91:$K$160,'Project SqFt'!$M$91:$M$160,"50 / Low-HOME"),SUMIFS('Project SqFt'!$R$91:$R$160,'Project SqFt'!$U$91:$U$160,"50 / Low-HOME"),SUMIFS('Project SqFt'!$C$91:$C$160,'Project SqFt'!$F$91:$F$160,"50 / 50"),SUMIFS('Project SqFt'!$K$91:$K$160,'Project SqFt'!$M$91:$M$160,"50 / 50"),SUMIFS('Project SqFt'!$R$91:$R$160,'Project SqFt'!$U$91:$U$160,"50 / 50")))</f>
        <v/>
      </c>
    </row>
    <row r="26" spans="1:12" x14ac:dyDescent="0.25">
      <c r="A26" s="678" t="s">
        <v>879</v>
      </c>
      <c r="B26" s="679"/>
      <c r="C26" s="533"/>
      <c r="D26" s="726"/>
      <c r="F26" s="743"/>
      <c r="G26" s="743"/>
      <c r="H26" s="715" t="s">
        <v>457</v>
      </c>
      <c r="I26" s="715"/>
      <c r="J26" s="315" t="str">
        <f>IF(OR($C$19="No",$C$19=""),"",SUM(COUNTIFS('Project SqFt'!$F$18:$F$87,"60 / 60"),COUNTIFS('Project SqFt'!$M$18:$M$87,"60 / 60"),COUNTIFS('Project SqFt'!$U$18:$U$87,"60 / 60"),COUNTIFS('Project SqFt'!$F$18:$F$87,"60 / High-HOME"),COUNTIFS('Project SqFt'!$M$18:$M$87,"60 / High-HOME"),COUNTIFS('Project SqFt'!$U$18:$U$87,"60 / High-HOME"),COUNTIFS('Project SqFt'!$F$91:$F$160,"60 / 60"),COUNTIFS('Project SqFt'!$M$91:$M$160,"60 / 60"),COUNTIFS('Project SqFt'!$U$91:$U$160,"60 / 60"),COUNTIFS('Project SqFt'!$F$91:$F$160,"60 / High-HOME"),COUNTIFS('Project SqFt'!$M$91:$M$160,"60 / High-HOME"),COUNTIFS('Project SqFt'!$U$91:$U$160,"60 / High-HOME")))</f>
        <v/>
      </c>
      <c r="K26" s="318" t="str">
        <f>IF(OR($C$19="No",$C$19=""),"",SUM(SUMIFS('Project SqFt'!$C$18:$C$87,'Project SqFt'!$F$18:$F$87,"60 / 60"),SUMIFS('Project SqFt'!$K$18:$K$87,'Project SqFt'!$M$18:$M$87,"60 / 60"),SUMIFS('Project SqFt'!$R$18:$R$87,'Project SqFt'!$U$18:$U$87,"60 / 60"),SUMIFS('Project SqFt'!$C$18:$C$87,'Project SqFt'!$F$18:$F$87,"60 / High-HOME"),SUMIFS('Project SqFt'!$K$18:$K$87,'Project SqFt'!$M$18:$M$87,"60 / High-HOME"),SUMIFS('Project SqFt'!$R$18:$R$87,'Project SqFt'!$U$18:$U$87,"60 / High-HOME"),SUMIFS('Project SqFt'!$C$91:$C$160,'Project SqFt'!$F$91:$F$160,"60 / 60"),SUMIFS('Project SqFt'!$K$91:$K$160,'Project SqFt'!$M$91:$M$160,"60 / 60"),SUMIFS('Project SqFt'!$R$91:$R$160,'Project SqFt'!$U$91:$U$160,"60 / 60"),SUMIFS('Project SqFt'!$C$91:$C$160,'Project SqFt'!$F$91:$F$160,"60 / High-HOME"),SUMIFS('Project SqFt'!$K$91:$K$160,'Project SqFt'!$M$91:$M$160,"60 / High-HOME"),SUMIFS('Project SqFt'!$R$91:$R$160,'Project SqFt'!$U$91:$U$160,"60 / High-HOME")))</f>
        <v/>
      </c>
    </row>
    <row r="27" spans="1:12" ht="15.75" thickBot="1" x14ac:dyDescent="0.3">
      <c r="A27" s="678" t="s">
        <v>27</v>
      </c>
      <c r="B27" s="679"/>
      <c r="C27" s="533"/>
      <c r="D27" s="726"/>
      <c r="F27" s="743"/>
      <c r="G27" s="743"/>
      <c r="H27" s="715" t="s">
        <v>458</v>
      </c>
      <c r="I27" s="715"/>
      <c r="J27" s="315" t="str">
        <f>IF(OR($C$19="No",$C$19=""),"",SUM(COUNTIFS('Project SqFt'!$F$18:$F$87,"70 / 70"),COUNTIFS('Project SqFt'!$M$18:$M$87,"70 / 70"),COUNTIFS('Project SqFt'!$U$18:$U$87,"70 / 70"),COUNTIFS('Project SqFt'!$F$91:$F$160,"70 / 70"),COUNTIFS('Project SqFt'!$M$91:$M$160,"70 / 70"),COUNTIFS('Project SqFt'!$U$91:$U$160,"70 / 70")))</f>
        <v/>
      </c>
      <c r="K27" s="318" t="str">
        <f>IF(OR($C$19="No",$C$19=""),"",SUM(SUMIFS('Project SqFt'!$C$18:$C$87,'Project SqFt'!$F$18:$F$87,"70 / 70"),SUMIFS('Project SqFt'!$K$18:$K$87,'Project SqFt'!$M$18:$M$87,"70 / 70"),SUMIFS('Project SqFt'!$R$18:$R$87,'Project SqFt'!$U$18:$U$87,"70 / 70"),SUMIFS('Project SqFt'!$C$91:$C$160,'Project SqFt'!$F$91:$F$160,"70 / 70"),SUMIFS('Project SqFt'!$K$91:$K$160,'Project SqFt'!$M$91:$M$160,"70 / 70"),SUMIFS('Project SqFt'!$R$91:$R$160,'Project SqFt'!$U$91:$U$160,"70 / 70")))</f>
        <v/>
      </c>
    </row>
    <row r="28" spans="1:12" ht="15.75" thickBot="1" x14ac:dyDescent="0.3">
      <c r="A28" s="727" t="s">
        <v>480</v>
      </c>
      <c r="B28" s="728"/>
      <c r="C28" s="729" t="str">
        <f>IF(OR($C$19="No",$C$19=""),"",MIN($A$30,$C$30))</f>
        <v/>
      </c>
      <c r="D28" s="730"/>
      <c r="F28" s="743"/>
      <c r="G28" s="743"/>
      <c r="H28" s="715" t="s">
        <v>459</v>
      </c>
      <c r="I28" s="715"/>
      <c r="J28" s="315" t="str">
        <f>IF(OR($C$19="No",$C$19=""),"",SUM(COUNTIFS('Project SqFt'!$F$18:$F$87,"80 / High-HOME"),COUNTIFS('Project SqFt'!$M$18:$M$87,"80 / High-HOME"),COUNTIFS('Project SqFt'!$U$18:$U$87,"80 / High-HOME"),COUNTIFS('Project SqFt'!$F$18:$F$87,"80 / 50"),COUNTIFS('Project SqFt'!$M$18:$M$87,"80 / 50"),COUNTIFS('Project SqFt'!$U$18:$U$87,"80 / 50"),COUNTIFS('Project SqFt'!$F$18:$F$87,"80 / 80"),COUNTIFS('Project SqFt'!$M$18:$M$87,"80 / 80"),COUNTIFS('Project SqFt'!$U$18:$U$87,"80 / 80"),COUNTIFS('Project SqFt'!$F$91:$F$160,"80 / High-HOME"),COUNTIFS('Project SqFt'!$M$91:$M$160,"80 / High-HOME"),COUNTIFS('Project SqFt'!$U$91:$U$160,"80 / High-HOME"),COUNTIFS('Project SqFt'!$F$91:$F$160,"80 / 50"),COUNTIFS('Project SqFt'!$M$91:$M$160,"80 / 50"),COUNTIFS('Project SqFt'!$U$91:$U$160,"80 / 50"),COUNTIFS('Project SqFt'!$F$91:$F$160,"80 / 80"),COUNTIFS('Project SqFt'!$M$91:$M$160,"80 / 80"),COUNTIFS('Project SqFt'!$U$91:$U$160,"80 / 80")))</f>
        <v/>
      </c>
      <c r="K28" s="318" t="str">
        <f>IF(OR($C$19="No",$C$19=""),"",SUM(SUMIFS('Project SqFt'!$C$18:$C$87,'Project SqFt'!$F$18:$F$87,"80 / High-HOME"),SUMIFS('Project SqFt'!$K$18:$K$87,'Project SqFt'!$M$18:$M$87,"80 / High-HOME"),SUMIFS('Project SqFt'!$R$18:$R$87,'Project SqFt'!$U$18:$U$87,"80 / High-HOME"),SUMIFS('Project SqFt'!$C$18:$C$87,'Project SqFt'!$F$18:$F$87,"80 / 50"),SUMIFS('Project SqFt'!$K$18:$K$87,'Project SqFt'!$M$18:$M$87,"80 / 50"),SUMIFS('Project SqFt'!$R$18:$R$87,'Project SqFt'!$U$18:$U$87,"80 / 50"),SUMIFS('Project SqFt'!$C$18:$C$87,'Project SqFt'!$F$18:$F$87,"80 / 80"),SUMIFS('Project SqFt'!$K$18:$K$87,'Project SqFt'!$M$18:$M$87,"80 / 80"),SUMIFS('Project SqFt'!$R$18:$R$87,'Project SqFt'!$U$18:$U$87,"80 / 80"),SUMIFS('Project SqFt'!$C$91:$C$160,'Project SqFt'!$F$91:$F$160,"80 / High-HOME"),SUMIFS('Project SqFt'!$K$91:$K$160,'Project SqFt'!$M$91:$M$160,"80 / High-HOME"),SUMIFS('Project SqFt'!$R$91:$R$160,'Project SqFt'!$U$91:$U$160,"80 / High-HOME"),SUMIFS('Project SqFt'!$C$91:$C$160,'Project SqFt'!$F$91:$F$160,"80 / 50"),SUMIFS('Project SqFt'!$K$91:$K$160,'Project SqFt'!$M$91:$M$160,"80 / 50"),SUMIFS('Project SqFt'!$R$91:$R$160,'Project SqFt'!$U$91:$U$160,"80 / 50"),SUMIFS('Project SqFt'!$C$91:$C$160,'Project SqFt'!$F$91:$F$160,"80 / 80"),SUMIFS('Project SqFt'!$K$91:$K$160,'Project SqFt'!$M$91:$M$160,"80 / 80"),SUMIFS('Project SqFt'!$R$91:$R$160,'Project SqFt'!$U$91:$U$160,"80 / 80")))</f>
        <v/>
      </c>
    </row>
    <row r="29" spans="1:12" x14ac:dyDescent="0.25">
      <c r="A29" s="713" t="s">
        <v>478</v>
      </c>
      <c r="B29" s="714"/>
      <c r="C29" s="711" t="s">
        <v>479</v>
      </c>
      <c r="D29" s="712"/>
      <c r="F29" s="660" t="s">
        <v>462</v>
      </c>
      <c r="G29" s="660"/>
      <c r="H29" s="660"/>
      <c r="I29" s="660"/>
      <c r="J29" s="125" t="str">
        <f>IF(OR($C$19="No",$C$19=""),"",SUM(COUNTIFS('Project SqFt'!$F$18:$F$87,"140 / 80"),COUNTIFS('Project SqFt'!$M$18:$M$87,"140 / 80"),COUNTIFS('Project SqFt'!$U$18:$U$87,"140 / 80"),COUNTIFS('Project SqFt'!$F$18:$F$87,"Other Restricted"),COUNTIFS('Project SqFt'!$M$18:$M$87,"Other Restricted"),COUNTIFS('Project SqFt'!$U$18:$U$87,"Other Restricted"),COUNTIFS('Project SqFt'!$F$91:$F$160,"140 / 80"),COUNTIFS('Project SqFt'!$M$91:$M$160,"140 / 80"),COUNTIFS('Project SqFt'!$U$91:$U$160,"140 / 80"),COUNTIFS('Project SqFt'!$F$91:$F$160,"Other Restricted"),COUNTIFS('Project SqFt'!$M$91:$M$160,"Other Restricted"),COUNTIFS('Project SqFt'!$U$91:$U$160,"Other Restricted")))</f>
        <v/>
      </c>
      <c r="K29" s="318" t="str">
        <f>IF(OR($C$19="No",$C$19=""),"",SUM(SUMIFS('Project SqFt'!$C$18:$C$87,'Project SqFt'!$F$18:$F$87,"140 / 80"),SUMIFS('Project SqFt'!$K$18:$K$87,'Project SqFt'!$M$18:$M$87,"140 / 80"),SUMIFS('Project SqFt'!$R$18:$R$87,'Project SqFt'!$U$18:$U$87,"140 / 80"),SUMIFS('Project SqFt'!$C$18:$C$87,'Project SqFt'!$F$18:$F$87,"Other Restricted"),SUMIFS('Project SqFt'!$K$18:$K$87,'Project SqFt'!$M$18:$M$87,"Other Restricted"),SUMIFS('Project SqFt'!$R$18:$R$87,'Project SqFt'!$U$18:$U$87,"Other Restricted"),SUMIFS('Project SqFt'!$C$91:$C$160,'Project SqFt'!$F$91:$F$160,"140 / 80"),SUMIFS('Project SqFt'!$K$91:$K$160,'Project SqFt'!$M$91:$M$160,"140 / 80"),SUMIFS('Project SqFt'!$R$91:$R$160,'Project SqFt'!$U$91:$U$160,"140 / 80"),SUMIFS('Project SqFt'!$C$91:$C$160,'Project SqFt'!$F$91:$F$160,"Other Restricted"),SUMIFS('Project SqFt'!$K$91:$K$160,'Project SqFt'!$M$91:$M$160,"Other Restricted"),SUMIFS('Project SqFt'!$R$91:$R$160,'Project SqFt'!$U$91:$U$160,"Other Restricted")))</f>
        <v/>
      </c>
    </row>
    <row r="30" spans="1:12" ht="15.75" thickBot="1" x14ac:dyDescent="0.3">
      <c r="A30" s="731" t="str">
        <f>IF(OR($C$19="No",$C$19=""),"",IF(SUM($J$22:$J$28)=0,0,(SUM($J$22:$J$28)/(SUM($J$22:$J$30)))))</f>
        <v/>
      </c>
      <c r="B30" s="732"/>
      <c r="C30" s="732" t="str">
        <f>IF(OR($C$19="No",$C$19=""),"",IF(SUM($K$22:$K$28)=0,0,(SUM($K$22:$K$28)/SUM($K$22:$K$30))))</f>
        <v/>
      </c>
      <c r="D30" s="732"/>
      <c r="F30" s="660" t="s">
        <v>464</v>
      </c>
      <c r="G30" s="660"/>
      <c r="H30" s="660"/>
      <c r="I30" s="660"/>
      <c r="J30" s="194" t="str">
        <f>IF(OR($C$19="No",$C$19=""),"",SUM(COUNTIFS('Project SqFt'!$F$18:$F$87,"Unrestricted"),COUNTIFS('Project SqFt'!$M$18:$M$87,"Unrestricted"),COUNTIFS('Project SqFt'!$U$18:$U$87,"Unrestricted"),COUNTIFS('Project SqFt'!$F$91:$F$160,"Unrestricted"),COUNTIFS('Project SqFt'!$M$91:$M$160,"Unrestricted"),COUNTIFS('Project SqFt'!$U$91:$U$160,"Unrestricted")))</f>
        <v/>
      </c>
      <c r="K30" s="318" t="str">
        <f>IF(OR($C$19="No",$C$19=""),"",SUM(SUMIFS('Project SqFt'!$C$18:$C$87,'Project SqFt'!$F$18:$F$87,"Unrestricted"),SUMIFS('Project SqFt'!$K$18:$K$87,'Project SqFt'!$M$18:$M$87,"Unrestricted"),SUMIFS('Project SqFt'!$R$18:$R$87,'Project SqFt'!$U$18:$U$87,"Unrestricted"),SUMIFS('Project SqFt'!$C$91:$C$160,'Project SqFt'!$F$91:$F$160,"Unrestricted"),SUMIFS('Project SqFt'!$K$91:$K$160,'Project SqFt'!$M$91:$M$160,"Unrestricted"),SUMIFS('Project SqFt'!$R$91:$R$160,'Project SqFt'!$U$91:$U$160,"Unrestricted")))</f>
        <v/>
      </c>
    </row>
    <row r="31" spans="1:12" ht="15.75" thickBot="1" x14ac:dyDescent="0.3">
      <c r="A31" s="727" t="s">
        <v>481</v>
      </c>
      <c r="B31" s="728"/>
      <c r="C31" s="729" t="str">
        <f>IFERROR(IF(OR($C$19="No",$C$19=""),"",($J$22*$H$22+$J$23*$H$23+$J$24*$H$24+$J$25*$H$25+$J$26*$H$26+$J$27*$H$27+$J$28*$H$28)/SUM($J$22:$J$28)),0)</f>
        <v/>
      </c>
      <c r="D31" s="730"/>
      <c r="F31" s="660" t="s">
        <v>489</v>
      </c>
      <c r="G31" s="660"/>
      <c r="H31" s="660"/>
      <c r="I31" s="660"/>
      <c r="J31" s="194" t="str">
        <f>IF(OR($C$19="No",$C$19=""),"",SUM(COUNTIFS('Project SqFt'!$F$18:$F$87,"Staff"),COUNTIFS('Project SqFt'!$M$18:$M$87,"Staff"),COUNTIFS('Project SqFt'!$U$18:$U$87,"Staff"),COUNTIFS('Project SqFt'!$F$91:$F$160,"Staff"),COUNTIFS('Project SqFt'!$M$91:$M$160,"Staff"),COUNTIFS('Project SqFt'!$U$91:$U$160,"Staff")))</f>
        <v/>
      </c>
      <c r="K31" s="318" t="str">
        <f>IF(OR($C$19="No",$C$19=""),"",SUM(SUMIFS('Project SqFt'!$C$18:$C$87,'Project SqFt'!$F$18:$F$87,"Staff"),SUMIFS('Project SqFt'!$K$18:$K$87,'Project SqFt'!$M$18:$M$87,"Staff"),SUMIFS('Project SqFt'!$R$18:$R$87,'Project SqFt'!$U$18:$U$87,"Staff"),SUMIFS('Project SqFt'!$C$91:$C$160,'Project SqFt'!$F$91:$F$160,"Staff"),SUMIFS('Project SqFt'!$K$91:$K$160,'Project SqFt'!$M$91:$M$160,"Staff"),SUMIFS('Project SqFt'!$R$91:$R$160,'Project SqFt'!$U$91:$U$160,"Staff")))</f>
        <v/>
      </c>
    </row>
    <row r="32" spans="1:12" x14ac:dyDescent="0.25">
      <c r="A32" s="713" t="s">
        <v>478</v>
      </c>
      <c r="B32" s="714"/>
      <c r="C32" s="711" t="s">
        <v>479</v>
      </c>
      <c r="D32" s="712"/>
      <c r="F32" s="660" t="s">
        <v>463</v>
      </c>
      <c r="G32" s="660"/>
      <c r="H32" s="660"/>
      <c r="I32" s="660"/>
      <c r="J32" s="317"/>
      <c r="K32" s="318" t="str">
        <f>IF(OR($C$19="No",$C$19=""),"",'Project SqFt'!$B$15)</f>
        <v/>
      </c>
    </row>
    <row r="33" spans="1:11" x14ac:dyDescent="0.25">
      <c r="A33" s="731" t="str">
        <f>IFERROR(IF(OR($C$19="No",$C$19=""),"",($J$22*$H$22+$J$23*$H$23+$J$24*$H$24+$J$25*$H$25+$J$26*$H$26+$J$27*$H$27+$J$28*$H$28)/SUM($J$22:$J$30)),0)</f>
        <v/>
      </c>
      <c r="B33" s="732"/>
      <c r="C33" s="732" t="str">
        <f>IFERROR(IF(OR($C$19="No",$C$19=""),"",($K$22*$H$22+$K$23*$H$23+$K$24*$H$24+$K$25*$H$25+$K$26*$H$26+$K$27*$H$27+$K$28*$H$28)/SUM($K$22:$K$30)),0)</f>
        <v/>
      </c>
      <c r="D33" s="732"/>
      <c r="F33" s="676" t="s">
        <v>466</v>
      </c>
      <c r="G33" s="676"/>
      <c r="H33" s="676"/>
      <c r="I33" s="676"/>
      <c r="J33" s="315" t="str">
        <f>IF(OR($C$19="No",$C$19=""),"",'Project SqFt'!$G$15)</f>
        <v/>
      </c>
      <c r="K33" s="318" t="str">
        <f>IF(OR($C$19="No",$C$19=""),"",'Project SqFt'!$F$15)</f>
        <v/>
      </c>
    </row>
    <row r="34" spans="1:11" x14ac:dyDescent="0.25">
      <c r="A34" s="678" t="s">
        <v>1053</v>
      </c>
      <c r="B34" s="679"/>
      <c r="C34" s="708"/>
      <c r="D34" s="709"/>
      <c r="E34" s="710"/>
      <c r="F34" s="676" t="s">
        <v>467</v>
      </c>
      <c r="G34" s="676"/>
      <c r="H34" s="676"/>
      <c r="I34" s="676"/>
      <c r="J34" s="315" t="str">
        <f>IF(OR($C$19="No",$C$19=""),"",'Project SqFt'!$L$15)</f>
        <v/>
      </c>
      <c r="K34" s="318" t="str">
        <f>IF(OR($C$19="No",$C$19=""),"",'Project SqFt'!$K$15)</f>
        <v/>
      </c>
    </row>
    <row r="35" spans="1:11" x14ac:dyDescent="0.25">
      <c r="A35" s="678" t="s">
        <v>714</v>
      </c>
      <c r="B35" s="679"/>
      <c r="C35" s="708"/>
      <c r="D35" s="709"/>
      <c r="E35" s="710"/>
      <c r="F35" s="676" t="s">
        <v>468</v>
      </c>
      <c r="G35" s="676"/>
      <c r="H35" s="676"/>
      <c r="I35" s="676"/>
      <c r="J35" s="256"/>
      <c r="K35" s="318" t="str">
        <f>IF(OR($C$19="No",$C$19=""),"",'Project SqFt'!$O$15)</f>
        <v/>
      </c>
    </row>
    <row r="36" spans="1:11" ht="15.75" x14ac:dyDescent="0.25">
      <c r="A36" s="761" t="s">
        <v>708</v>
      </c>
      <c r="B36" s="762"/>
      <c r="C36" s="721" t="str">
        <f>IF(OR($C$19="No",$C$19=""),"","Allocation Date")</f>
        <v/>
      </c>
      <c r="D36" s="722"/>
      <c r="E36" s="723"/>
      <c r="F36" s="716" t="s">
        <v>469</v>
      </c>
      <c r="G36" s="716"/>
      <c r="H36" s="716"/>
      <c r="I36" s="717"/>
      <c r="J36" s="396" t="str">
        <f>IF(OR($C$19="No",$C$19=""),"",SUM($J$22:$J$30))</f>
        <v/>
      </c>
      <c r="K36" s="397" t="str">
        <f>IF(OR($C$19="No",$C$19=""),"",SUM($K$22:$K$35))</f>
        <v/>
      </c>
    </row>
    <row r="37" spans="1:11" ht="15.75" x14ac:dyDescent="0.25">
      <c r="A37" s="574"/>
      <c r="B37" s="575"/>
      <c r="C37" s="573"/>
      <c r="D37" s="573"/>
      <c r="E37" s="573"/>
      <c r="F37" s="568"/>
      <c r="G37" s="568"/>
      <c r="H37" s="568"/>
      <c r="I37" s="568"/>
      <c r="J37" s="572"/>
      <c r="K37" s="400"/>
    </row>
    <row r="38" spans="1:11" ht="15.75" x14ac:dyDescent="0.25">
      <c r="A38" s="430"/>
      <c r="B38" s="683" t="s">
        <v>720</v>
      </c>
      <c r="C38" s="683"/>
      <c r="D38" s="683"/>
      <c r="E38" s="683"/>
      <c r="F38" s="683"/>
      <c r="G38" s="683"/>
      <c r="H38" s="683"/>
      <c r="I38" s="683"/>
      <c r="J38" s="205"/>
      <c r="K38" s="560"/>
    </row>
    <row r="39" spans="1:11" x14ac:dyDescent="0.25">
      <c r="A39" s="475"/>
      <c r="B39" s="665" t="s">
        <v>715</v>
      </c>
      <c r="C39" s="665"/>
      <c r="D39" s="684"/>
      <c r="E39" s="684"/>
      <c r="F39" s="121" t="str">
        <f>IF(OR($C$19="No",$C$19=""),"",IFERROR($D$39/$J$36,""))</f>
        <v/>
      </c>
      <c r="G39" s="664" t="s">
        <v>1078</v>
      </c>
      <c r="H39" s="665"/>
      <c r="I39" s="666"/>
      <c r="J39" s="89"/>
      <c r="K39" s="132" t="str">
        <f>IF(OR($C$19="No",$C$19=""),"",IFERROR($J$39/$J$36,""))</f>
        <v/>
      </c>
    </row>
    <row r="40" spans="1:11" ht="15.75" thickBot="1" x14ac:dyDescent="0.3">
      <c r="A40" s="124"/>
      <c r="B40" s="401" t="s">
        <v>716</v>
      </c>
      <c r="C40" s="440"/>
      <c r="D40" s="687"/>
      <c r="E40" s="687"/>
      <c r="F40" s="402" t="str">
        <f>IF(OR($C$19="No",$C$19=""),"",IFERROR($D$40/$J$36,""))</f>
        <v/>
      </c>
      <c r="G40" s="226"/>
      <c r="H40" s="401"/>
      <c r="I40" s="401" t="s">
        <v>717</v>
      </c>
      <c r="J40" s="477"/>
      <c r="K40" s="403" t="str">
        <f>IF(OR($C$19="No",$C$19=""),"",IFERROR($J$40/$J$36,""))</f>
        <v/>
      </c>
    </row>
    <row r="41" spans="1:11" ht="9.9499999999999993" customHeight="1" thickBot="1" x14ac:dyDescent="0.3">
      <c r="A41" s="109"/>
      <c r="F41" s="164"/>
      <c r="G41" s="164"/>
      <c r="H41" s="164"/>
      <c r="I41" s="164"/>
      <c r="J41" s="110"/>
      <c r="K41" s="111"/>
    </row>
    <row r="42" spans="1:11" ht="18.75" x14ac:dyDescent="0.25">
      <c r="A42" s="745" t="s">
        <v>486</v>
      </c>
      <c r="B42" s="746"/>
      <c r="C42" s="746"/>
      <c r="D42" s="746"/>
      <c r="E42" s="746"/>
      <c r="F42" s="746"/>
      <c r="G42" s="746"/>
      <c r="H42" s="746"/>
      <c r="I42" s="746"/>
      <c r="J42" s="746"/>
      <c r="K42" s="747"/>
    </row>
    <row r="43" spans="1:11" ht="9.9499999999999993" customHeight="1" x14ac:dyDescent="0.25">
      <c r="A43" s="392"/>
      <c r="B43" s="393"/>
      <c r="C43" s="393"/>
      <c r="D43" s="393"/>
      <c r="E43" s="393"/>
      <c r="F43" s="393"/>
      <c r="G43" s="393"/>
      <c r="H43" s="393"/>
      <c r="I43" s="393"/>
      <c r="J43" s="393"/>
      <c r="K43" s="394"/>
    </row>
    <row r="44" spans="1:11" x14ac:dyDescent="0.25">
      <c r="A44" s="678" t="s">
        <v>29</v>
      </c>
      <c r="B44" s="693"/>
      <c r="C44" s="142"/>
      <c r="E44" s="764" t="s">
        <v>1027</v>
      </c>
      <c r="F44" s="764"/>
      <c r="G44" s="764"/>
      <c r="H44" s="765"/>
      <c r="I44" s="141"/>
      <c r="K44" s="312"/>
    </row>
    <row r="45" spans="1:11" x14ac:dyDescent="0.25">
      <c r="A45" s="678" t="s">
        <v>25</v>
      </c>
      <c r="B45" s="679"/>
      <c r="C45" s="708"/>
      <c r="D45" s="709"/>
      <c r="E45" s="709"/>
      <c r="F45" s="709"/>
      <c r="G45" s="709"/>
      <c r="H45" s="709"/>
      <c r="I45" s="763"/>
      <c r="K45" s="312"/>
    </row>
    <row r="46" spans="1:11" x14ac:dyDescent="0.25">
      <c r="A46" s="677" t="s">
        <v>698</v>
      </c>
      <c r="B46" s="666"/>
      <c r="C46" s="570"/>
      <c r="E46" s="766" t="s">
        <v>708</v>
      </c>
      <c r="F46" s="766"/>
      <c r="G46" s="766"/>
      <c r="H46" s="766"/>
      <c r="I46" s="721" t="str">
        <f>IF(OR($C$44="No",$C$44=""),"","Commitment Date")</f>
        <v/>
      </c>
      <c r="J46" s="723"/>
      <c r="K46" s="312"/>
    </row>
    <row r="47" spans="1:11" ht="9.9499999999999993" customHeight="1" x14ac:dyDescent="0.25">
      <c r="A47" s="316"/>
      <c r="B47" s="576"/>
      <c r="C47" s="576"/>
      <c r="D47" s="576"/>
      <c r="E47" s="576"/>
      <c r="F47" s="576"/>
      <c r="G47" s="576"/>
      <c r="I47" s="588"/>
      <c r="J47" s="588"/>
      <c r="K47" s="590"/>
    </row>
    <row r="48" spans="1:11" x14ac:dyDescent="0.25">
      <c r="A48" s="475"/>
      <c r="D48" s="589"/>
      <c r="E48" s="589"/>
      <c r="I48" s="652" t="s">
        <v>465</v>
      </c>
      <c r="J48" s="653"/>
      <c r="K48" s="654"/>
    </row>
    <row r="49" spans="1:11" x14ac:dyDescent="0.25">
      <c r="A49" s="475"/>
      <c r="B49" s="680" t="s">
        <v>1104</v>
      </c>
      <c r="C49" s="688"/>
      <c r="D49" s="571"/>
      <c r="F49" s="655" t="s">
        <v>866</v>
      </c>
      <c r="G49" s="655"/>
      <c r="H49" s="655"/>
      <c r="I49" s="655"/>
      <c r="J49" s="194" t="s">
        <v>169</v>
      </c>
      <c r="K49" s="314" t="s">
        <v>383</v>
      </c>
    </row>
    <row r="50" spans="1:11" x14ac:dyDescent="0.25">
      <c r="A50" s="760" t="s">
        <v>1032</v>
      </c>
      <c r="B50" s="680"/>
      <c r="C50" s="688"/>
      <c r="D50" s="579" t="str">
        <f>IF(OR($C$44="No",$C$44=""),"",IFERROR('Cost Allocations'!$U$48/$C$58,""))</f>
        <v/>
      </c>
      <c r="F50" s="656" t="s">
        <v>868</v>
      </c>
      <c r="G50" s="656"/>
      <c r="H50" s="656"/>
      <c r="I50" s="656"/>
      <c r="J50" s="315" t="str">
        <f>IF(OR($C$44="No",$C$44=""),"",SUM(COUNTIFS('Project SqFt'!$F$18:$F$87,"20 / 20"),COUNTIFS('Project SqFt'!$M$18:$M$87,"20 / 20"),COUNTIFS('Project SqFt'!$U$18:$U$87,"20 / 20"),COUNTIFS('Project SqFt'!$F$18:$F$87,"30 / 30"),COUNTIFS('Project SqFt'!$M$18:$M$87,"30 / 30"),COUNTIFS('Project SqFt'!$U$18:$U$87,"30 / 30"),COUNTIFS('Project SqFt'!$F$91:$F$160,"20 / 20"),COUNTIFS('Project SqFt'!$M$91:$M$160,"20 / 20"),COUNTIFS('Project SqFt'!$U$91:$U$160,"20 / 20"),COUNTIFS('Project SqFt'!$F$91:$F$160,"30 / 30"),COUNTIFS('Project SqFt'!$M$91:$M$160,"30 / 30"),COUNTIFS('Project SqFt'!$U$91:$U$160,"30 / 30")))</f>
        <v/>
      </c>
      <c r="K50" s="318" t="str">
        <f>IF(OR($C$44="No",$C$44=""),"",SUM(SUMIFS('Project SqFt'!$C$18:$C$87,'Project SqFt'!$F$18:$F$87,"20 / 20"),SUMIFS('Project SqFt'!$K$18:$K$87,'Project SqFt'!$M$18:$M$87,"20 / 20"),SUMIFS('Project SqFt'!$R$18:$R$87,'Project SqFt'!$U$18:$U$87,"20 / 20"),SUMIFS('Project SqFt'!$C$18:$C$87,'Project SqFt'!$F$18:$F$87,"30 / 30"),SUMIFS('Project SqFt'!$K$18:$K$87,'Project SqFt'!$M$18:$M$87,"30 / 30"),SUMIFS('Project SqFt'!$R$18:$R$87,'Project SqFt'!$U$18:$U$87,"30 / 30"),SUMIFS('Project SqFt'!$C$91:$C$160,'Project SqFt'!$F$91:$F$160,"20 / 20"),SUMIFS('Project SqFt'!$K$91:$K$160,'Project SqFt'!$M$91:$M$160,"20 / 20"),SUMIFS('Project SqFt'!$R$91:$R$160,'Project SqFt'!$U$91:$U$160,"20 / 20"),SUMIFS('Project SqFt'!$C$91:$C$160,'Project SqFt'!$F$91:$F$160,"30 / 30"),SUMIFS('Project SqFt'!$K$91:$K$160,'Project SqFt'!$M$91:$M$160,"30 / 30"),SUMIFS('Project SqFt'!$R$91:$R$160,'Project SqFt'!$U$91:$U$160,"30 / 30")))</f>
        <v/>
      </c>
    </row>
    <row r="51" spans="1:11" ht="15.75" thickBot="1" x14ac:dyDescent="0.3">
      <c r="A51" s="475"/>
      <c r="F51" s="657" t="s">
        <v>462</v>
      </c>
      <c r="G51" s="658"/>
      <c r="H51" s="658"/>
      <c r="I51" s="659"/>
      <c r="J51" s="125" t="str">
        <f>IF(OR($C$44="No",$C$44=""),"",SUM(COUNTIFS('Project SqFt'!$F$18:$F$87,"40 / 40"),COUNTIFS('Project SqFt'!$M$18:$M$87,"40 / 40"),COUNTIFS('Project SqFt'!$U$18:$U$87,"40 / 40"),COUNTIFS('Project SqFt'!$F$18:$F$87,"50 / Low-HOME"),COUNTIFS('Project SqFt'!$M$18:$M$87,"50 / Low-HOME"),COUNTIFS('Project SqFt'!$U$18:$U$87,"50 / Low-HOME"),COUNTIFS('Project SqFt'!$F$18:$F$87,"50 / 50"),COUNTIFS('Project SqFt'!$M$18:$M$87,"50 / 50"),COUNTIFS('Project SqFt'!$U$18:$U$87,"50 / 50"),COUNTIFS('Project SqFt'!$F$18:$F$87,"60 / High-HOME"),COUNTIFS('Project SqFt'!$M$18:$M$87,"60 / High-HOME"),COUNTIFS('Project SqFt'!$U$18:$U$87,"60 / High-HOME"),COUNTIFS('Project SqFt'!$F$18:$F$87,"60 / 60"),COUNTIFS('Project SqFt'!$M$18:$M$87,"60 / 60"),COUNTIFS('Project SqFt'!$U$18:$U$87,"60 / 60"),COUNTIFS('Project SqFt'!$F$18:$F$87,"70 / High-HOME"),COUNTIFS('Project SqFt'!$M$18:$M$87,"70 / High-HOME"),COUNTIFS('Project SqFt'!$U$18:$U$87,"70 / High-HOME"),COUNTIFS('Project SqFt'!$F$18:$F$87,"70 / 70"),COUNTIFS('Project SqFt'!$M$18:$M$87,"70 / 70"),COUNTIFS('Project SqFt'!$U$18:$U$87,"70 / 70"),COUNTIFS('Project SqFt'!$F$18:$F$87,"80 / High-HOME"),COUNTIFS('Project SqFt'!$M$18:$M$87,"80 / High-HOME"),COUNTIFS('Project SqFt'!$U$18:$U$87,"80 / High-HOME"),COUNTIFS('Project SqFt'!$F$18:$F$87,"80 / 50"),COUNTIFS('Project SqFt'!$M$18:$M$87,"80 / 50"),COUNTIFS('Project SqFt'!$U$18:$U$87,"80 / 50"),COUNTIFS('Project SqFt'!$F$18:$F$87,"80 / 80"),COUNTIFS('Project SqFt'!$M$18:$M$87,"80 / 80"),COUNTIFS('Project SqFt'!$U$18:$U$87,"80 / 80"),COUNTIFS('Project SqFt'!$F$18:$F$87,"140 / 80"),COUNTIFS('Project SqFt'!$M$18:$M$87,"140 / 80"),COUNTIFS('Project SqFt'!$U$18:$U$87,"140 / 80"),COUNTIFS('Project SqFt'!$F$18:$F$87,"Other Restricted"),COUNTIFS('Project SqFt'!$M$18:$M$87,"Other Restricted"),COUNTIFS('Project SqFt'!$U$18:$U$87,"Other Restricted"),COUNTIFS('Project SqFt'!$F$91:$F$160,"40 / 40"),COUNTIFS('Project SqFt'!$M$91:$M$160,"40 / 40"),COUNTIFS('Project SqFt'!$U$91:$U$160,"40 / 40"),COUNTIFS('Project SqFt'!$F$91:$F$160,"50 / Low-HOME"),COUNTIFS('Project SqFt'!$M$91:$M$160,"50 / Low-HOME"),COUNTIFS('Project SqFt'!$U$91:$U$160,"50 / Low-HOME"),COUNTIFS('Project SqFt'!$F$91:$F$160,"50 / 50"),COUNTIFS('Project SqFt'!$M$91:$M$160,"50 / 50"),COUNTIFS('Project SqFt'!$U$91:$U$160,"50 / 50"),COUNTIFS('Project SqFt'!$F$91:$F$160,"60 / High-HOME"),COUNTIFS('Project SqFt'!$M$91:$M$160,"60 / High-HOME"),COUNTIFS('Project SqFt'!$U$91:$U$160,"60 / High-HOME"),COUNTIFS('Project SqFt'!$F$91:$F$160,"60 / 60"),COUNTIFS('Project SqFt'!$M$91:$M$160,"60 / 60"),COUNTIFS('Project SqFt'!$U$91:$U$160,"60 / 60"),COUNTIFS('Project SqFt'!$F$91:$F$160,"70 / High-HOME"),COUNTIFS('Project SqFt'!$M$91:$M$160,"70 / High-HOME"),COUNTIFS('Project SqFt'!$U$91:$U$160,"70 / High-HOME"),COUNTIFS('Project SqFt'!$F$91:$F$160,"70 / 70"),COUNTIFS('Project SqFt'!$M$91:$M$160,"70 / 70"),COUNTIFS('Project SqFt'!$U$91:$U$160,"70 / 70"),COUNTIFS('Project SqFt'!$F$91:$F$160,"80 / High-HOME"),COUNTIFS('Project SqFt'!$M$91:$M$160,"80 / High-HOME"),COUNTIFS('Project SqFt'!$U$91:$U$160,"80 / High-HOME"),COUNTIFS('Project SqFt'!$F$91:$F$160,"80 / 50"),COUNTIFS('Project SqFt'!$M$91:$M$160,"80 / 50"),COUNTIFS('Project SqFt'!$U$91:$U$160,"80 / 50"),COUNTIFS('Project SqFt'!$F$91:$F$160,"80 / 80"),COUNTIFS('Project SqFt'!$M$91:$M$160,"80 / 80"),COUNTIFS('Project SqFt'!$U$91:$U$160,"80 / 80"),COUNTIFS('Project SqFt'!$F$91:$F$160,"140 / 80"),COUNTIFS('Project SqFt'!$M$91:$M$160,"140 / 80"),COUNTIFS('Project SqFt'!$U$91:$U$160,"140 / 80"),COUNTIFS('Project SqFt'!$F$91:$F$160,"Other Restricted"),COUNTIFS('Project SqFt'!$M$91:$M$160,"Other Restricted"),COUNTIFS('Project SqFt'!$U$91:$U$160,"Other Restricted")))</f>
        <v/>
      </c>
      <c r="K51" s="318" t="str">
        <f>IF(OR($C$44="No",$C$44=""),"",SUM(SUMIFS('Project SqFt'!$C$18:$C$87,'Project SqFt'!$F$18:$F$87,"40 / 40"),SUMIFS('Project SqFt'!$K$18:$K$87,'Project SqFt'!$M$18:$M$87,"40 / 40"),SUMIFS('Project SqFt'!$R$18:$R$87,'Project SqFt'!$U$18:$U$87,"40 / 40"),SUMIFS('Project SqFt'!$C$18:$C$87,'Project SqFt'!$F$18:$F$87,"50 / Low-HOME"),SUMIFS('Project SqFt'!$K$18:$K$87,'Project SqFt'!$M$18:$M$87,"50 / Low-HOME"),SUMIFS('Project SqFt'!$R$18:$R$87,'Project SqFt'!$U$18:$U$87,"50 / Low-HOME"),SUMIFS('Project SqFt'!$C$18:$C$87,'Project SqFt'!$F$18:$F$87,"50 / 50"),SUMIFS('Project SqFt'!$K$18:$K$87,'Project SqFt'!$M$18:$M$87,"50 / 50"),SUMIFS('Project SqFt'!$R$18:$R$87,'Project SqFt'!$U$18:$U$87,"50 / 50"),SUMIFS('Project SqFt'!$C$18:$C$87,'Project SqFt'!$F$18:$F$87,"60 / High-HOME"),SUMIFS('Project SqFt'!$K$18:$K$87,'Project SqFt'!$M$18:$M$87,"60 / High-HOME"),SUMIFS('Project SqFt'!$R$18:$R$87,'Project SqFt'!$U$18:$U$87,"60 / High-HOME"),SUMIFS('Project SqFt'!$C$18:$C$87,'Project SqFt'!$F$18:$F$87,"60 / 60"),SUMIFS('Project SqFt'!$K$18:$K$87,'Project SqFt'!$M$18:$M$87,"60 / 60"),SUMIFS('Project SqFt'!$R$18:$R$87,'Project SqFt'!$U$18:$U$87,"60 / 60"),SUMIFS('Project SqFt'!$C$18:$C$87,'Project SqFt'!$F$18:$F$87,"70 / High-HOME"),SUMIFS('Project SqFt'!$K$18:$K$87,'Project SqFt'!$M$18:$M$87,"70 / High-HOME"),SUMIFS('Project SqFt'!$R$18:$R$87,'Project SqFt'!$U$18:$U$87,"70 / High-HOME"),SUMIFS('Project SqFt'!$C$18:$C$87,'Project SqFt'!$F$18:$F$87,"70 / 70"),SUMIFS('Project SqFt'!$K$18:$K$87,'Project SqFt'!$M$18:$M$87,"70 / 70"),SUMIFS('Project SqFt'!$R$18:$R$87,'Project SqFt'!$U$18:$U$87,"70 / 70"),SUMIFS('Project SqFt'!$C$18:$C$87,'Project SqFt'!$F$18:$F$87,"80 / High-HOME"),SUMIFS('Project SqFt'!$K$18:$K$87,'Project SqFt'!$M$18:$M$87,"80 / High-HOME"),SUMIFS('Project SqFt'!$R$18:$R$87,'Project SqFt'!$U$18:$U$87,"80 / High-HOME"),SUMIFS('Project SqFt'!$C$18:$C$87,'Project SqFt'!$F$18:$F$87,"80 / 50"),SUMIFS('Project SqFt'!$K$18:$K$87,'Project SqFt'!$M$18:$M$87,"80 / 50"),SUMIFS('Project SqFt'!$R$18:$R$87,'Project SqFt'!$U$18:$U$87,"80 / 50"),SUMIFS('Project SqFt'!$C$18:$C$87,'Project SqFt'!$F$18:$F$87,"80 / 80"),SUMIFS('Project SqFt'!$K$18:$K$87,'Project SqFt'!$M$18:$M$87,"80 / 80"),SUMIFS('Project SqFt'!$R$18:$R$87,'Project SqFt'!$U$18:$U$87,"80 / 80"),SUMIFS('Project SqFt'!$C$18:$C$87,'Project SqFt'!$F$18:$F$87,"140 / 80"),SUMIFS('Project SqFt'!$K$18:$K$87,'Project SqFt'!$M$18:$M$87,"140 / 80"),SUMIFS('Project SqFt'!$R$18:$R$87,'Project SqFt'!$U$18:$U$87,"140 / 80"),SUMIFS('Project SqFt'!$C$18:$C$87,'Project SqFt'!$F$18:$F$87,"Other Restricted"),SUMIFS('Project SqFt'!$K$18:$K$87,'Project SqFt'!$M$18:$M$87,"Other Restricted"),SUMIFS('Project SqFt'!$R$18:$R$87,'Project SqFt'!$U$18:$U$87,"Other Restricted"),SUMIFS('Project SqFt'!$C$91:$C$160,'Project SqFt'!$F$91:$F$160,"40 / 40"),SUMIFS('Project SqFt'!$K$91:$K$160,'Project SqFt'!$M$91:$M$160,"40 / 40"),SUMIFS('Project SqFt'!$R$91:$R$160,'Project SqFt'!$U$91:$U$160,"40 / 40"),SUMIFS('Project SqFt'!$C$91:$C$160,'Project SqFt'!$F$91:$F$160,"50 / Low-HOME"),SUMIFS('Project SqFt'!$K$91:$K$160,'Project SqFt'!$M$91:$M$160,"50 / Low-HOME"),SUMIFS('Project SqFt'!$R$91:$R$160,'Project SqFt'!$U$91:$U$160,"50 / Low-HOME"),SUMIFS('Project SqFt'!$C$91:$C$160,'Project SqFt'!$F$91:$F$160,"50 / 50"),SUMIFS('Project SqFt'!$K$91:$K$160,'Project SqFt'!$M$91:$M$160,"50 / 50"),SUMIFS('Project SqFt'!$R$91:$R$160,'Project SqFt'!$U$91:$U$160,"50 / 50"),SUMIFS('Project SqFt'!$C$91:$C$160,'Project SqFt'!$F$91:$F$160,"60 / High-HOME"),SUMIFS('Project SqFt'!$K$91:$K$160,'Project SqFt'!$M$91:$M$160,"60 / High-HOME"),SUMIFS('Project SqFt'!$R$91:$R$160,'Project SqFt'!$U$91:$U$160,"60 / High-HOME"),SUMIFS('Project SqFt'!$C$91:$C$160,'Project SqFt'!$F$91:$F$160,"60 / 60"),SUMIFS('Project SqFt'!$K$91:$K$160,'Project SqFt'!$M$91:$M$160,"60 / 60"),SUMIFS('Project SqFt'!$R$91:$R$160,'Project SqFt'!$U$91:$U$160,"60 / 60"),SUMIFS('Project SqFt'!$C$91:$C$160,'Project SqFt'!$F$91:$F$160,"70 / High-HOME"),SUMIFS('Project SqFt'!$K$91:$K$160,'Project SqFt'!$M$91:$M$160,"70 / High-HOME"),SUMIFS('Project SqFt'!$R$91:$R$160,'Project SqFt'!$U$91:$U$160,"70 / High-HOME"),SUMIFS('Project SqFt'!$C$91:$C$160,'Project SqFt'!$F$91:$F$160,"70 / 70"),SUMIFS('Project SqFt'!$K$91:$K$160,'Project SqFt'!$M$91:$M$160,"70 / 70"),SUMIFS('Project SqFt'!$R$91:$R$160,'Project SqFt'!$U$91:$U$160,"70 / 70"),SUMIFS('Project SqFt'!$C$91:$C$160,'Project SqFt'!$F$91:$F$160,"80 / High-HOME"),SUMIFS('Project SqFt'!$K$91:$K$160,'Project SqFt'!$M$91:$M$160,"80 / High-HOME"),SUMIFS('Project SqFt'!$R$91:$R$160,'Project SqFt'!$U$91:$U$160,"80 / High-HOME"),SUMIFS('Project SqFt'!$C$91:$C$160,'Project SqFt'!$F$91:$F$160,"80 / 50"),SUMIFS('Project SqFt'!$K$91:$K$160,'Project SqFt'!$M$91:$M$160,"80 / 50"),SUMIFS('Project SqFt'!$R$91:$R$160,'Project SqFt'!$U$91:$U$160,"80 / 50"),SUMIFS('Project SqFt'!$C$91:$C$160,'Project SqFt'!$F$91:$F$160,"80 / 80"),SUMIFS('Project SqFt'!$K$91:$K$160,'Project SqFt'!$M$91:$M$160,"80 / 80"),SUMIFS('Project SqFt'!$R$91:$R$160,'Project SqFt'!$U$91:$U$160,"80 / 80"),SUMIFS('Project SqFt'!$C$91:$C$160,'Project SqFt'!$F$91:$F$160,"140 / 80"),SUMIFS('Project SqFt'!$K$91:$K$160,'Project SqFt'!$M$91:$M$160,"140 / 80"),SUMIFS('Project SqFt'!$R$91:$R$160,'Project SqFt'!$U$91:$U$160,"140 / 80"),SUMIFS('Project SqFt'!$C$91:$C$160,'Project SqFt'!$F$91:$F$160,"Other Restricted"),SUMIFS('Project SqFt'!$K$91:$K$160,'Project SqFt'!$M$91:$M$160,"Other Restricted"),SUMIFS('Project SqFt'!$R$91:$R$160,'Project SqFt'!$U$91:$U$160,"Other Restricted")))</f>
        <v/>
      </c>
    </row>
    <row r="52" spans="1:11" x14ac:dyDescent="0.25">
      <c r="A52" s="475"/>
      <c r="B52" s="755" t="s">
        <v>1031</v>
      </c>
      <c r="C52" s="756"/>
      <c r="D52" s="757"/>
      <c r="F52" s="660" t="s">
        <v>464</v>
      </c>
      <c r="G52" s="660"/>
      <c r="H52" s="660"/>
      <c r="I52" s="660"/>
      <c r="J52" s="194" t="str">
        <f>IF(OR($C$44="No",$C$44=""),"",SUM(COUNTIFS('Project SqFt'!$F$18:$F$87,"Unrestricted"),COUNTIFS('Project SqFt'!$M$18:$M$87,"Unrestricted"),COUNTIFS('Project SqFt'!$U$18:$U$87,"Unrestricted"),COUNTIFS('Project SqFt'!$F$91:$F$160,"Unrestricted"),COUNTIFS('Project SqFt'!$M$91:$M$160,"Unrestricted"),COUNTIFS('Project SqFt'!$U$91:$U$160,"Unrestricted")))</f>
        <v/>
      </c>
      <c r="K52" s="318" t="str">
        <f>IF(OR($C$44="No",$C$44=""),"",SUM(SUMIFS('Project SqFt'!$C$18:$C$87,'Project SqFt'!$F$18:$F$87,"Unrestricted"),SUMIFS('Project SqFt'!$K$18:$K$87,'Project SqFt'!$M$18:$M$87,"Unrestricted"),SUMIFS('Project SqFt'!$R$18:$R$87,'Project SqFt'!$U$18:$U$87,"Unrestricted"),SUMIFS('Project SqFt'!$C$91:$C$160,'Project SqFt'!$F$91:$F$160,"Unrestricted"),SUMIFS('Project SqFt'!$K$91:$K$160,'Project SqFt'!$M$91:$M$160,"Unrestricted"),SUMIFS('Project SqFt'!$R$91:$R$160,'Project SqFt'!$U$91:$U$160,"Unrestricted")))</f>
        <v/>
      </c>
    </row>
    <row r="53" spans="1:11" x14ac:dyDescent="0.25">
      <c r="A53" s="475"/>
      <c r="B53" s="135" t="s">
        <v>57</v>
      </c>
      <c r="C53" s="753"/>
      <c r="D53" s="754"/>
      <c r="F53" s="657" t="s">
        <v>489</v>
      </c>
      <c r="G53" s="658"/>
      <c r="H53" s="658"/>
      <c r="I53" s="659"/>
      <c r="J53" s="194" t="str">
        <f>IF(OR($C$44="No",$C$44=""),"",SUM(COUNTIFS('Project SqFt'!$F$18:$F$87,"Staff"),COUNTIFS('Project SqFt'!$M$18:$M$87,"Staff"),COUNTIFS('Project SqFt'!$U$18:$U$87,"Staff"),COUNTIFS('Project SqFt'!$F$91:$F$160,"Staff"),COUNTIFS('Project SqFt'!$M$91:$M$160,"Staff"),COUNTIFS('Project SqFt'!$U$91:$U$160,"Staff")))</f>
        <v/>
      </c>
      <c r="K53" s="318" t="str">
        <f>IF(OR($C$44="No",$C$44=""),"",SUM(SUMIFS('Project SqFt'!$C$18:$C$87,'Project SqFt'!$F$18:$F$87,"Staff"),SUMIFS('Project SqFt'!$K$18:$K$87,'Project SqFt'!$M$18:$M$87,"Staff"),SUMIFS('Project SqFt'!$R$18:$R$87,'Project SqFt'!$U$18:$U$87,"Staff"),SUMIFS('Project SqFt'!$C$91:$C$160,'Project SqFt'!$F$91:$F$160,"Staff"),SUMIFS('Project SqFt'!$K$91:$K$160,'Project SqFt'!$M$91:$M$160,"Staff"),SUMIFS('Project SqFt'!$R$91:$R$160,'Project SqFt'!$U$91:$U$160,"Staff")))</f>
        <v/>
      </c>
    </row>
    <row r="54" spans="1:11" x14ac:dyDescent="0.25">
      <c r="A54" s="475"/>
      <c r="B54" s="135" t="s">
        <v>58</v>
      </c>
      <c r="C54" s="753"/>
      <c r="D54" s="754"/>
      <c r="E54" s="126"/>
      <c r="F54" s="657" t="s">
        <v>463</v>
      </c>
      <c r="G54" s="658"/>
      <c r="H54" s="658"/>
      <c r="I54" s="659"/>
      <c r="J54" s="317"/>
      <c r="K54" s="318" t="str">
        <f>IF(OR($C$44="No",$C$44=""),"",'Project SqFt'!$B$15)</f>
        <v/>
      </c>
    </row>
    <row r="55" spans="1:11" x14ac:dyDescent="0.25">
      <c r="A55" s="475"/>
      <c r="B55" s="135" t="s">
        <v>59</v>
      </c>
      <c r="C55" s="758"/>
      <c r="D55" s="759"/>
      <c r="E55" s="109"/>
      <c r="F55" s="661" t="s">
        <v>466</v>
      </c>
      <c r="G55" s="662"/>
      <c r="H55" s="662"/>
      <c r="I55" s="663"/>
      <c r="J55" s="315" t="str">
        <f>IF(OR($C$44="No",$C$44=""),"",'Project SqFt'!$G$15)</f>
        <v/>
      </c>
      <c r="K55" s="318" t="str">
        <f>IF(OR($C$44="No",$C$44=""),"",'Project SqFt'!$F$15)</f>
        <v/>
      </c>
    </row>
    <row r="56" spans="1:11" x14ac:dyDescent="0.25">
      <c r="A56" s="475"/>
      <c r="B56" s="135" t="s">
        <v>60</v>
      </c>
      <c r="C56" s="753"/>
      <c r="D56" s="754"/>
      <c r="E56" s="109"/>
      <c r="F56" s="661" t="s">
        <v>467</v>
      </c>
      <c r="G56" s="662"/>
      <c r="H56" s="662"/>
      <c r="I56" s="663"/>
      <c r="J56" s="315" t="str">
        <f>IF(OR($C$44="No",$C$44=""),"",'Project SqFt'!$L$15)</f>
        <v/>
      </c>
      <c r="K56" s="318" t="str">
        <f>IF(OR($C$44="No",$C$44=""),"",'Project SqFt'!$K$15)</f>
        <v/>
      </c>
    </row>
    <row r="57" spans="1:11" x14ac:dyDescent="0.25">
      <c r="A57" s="475"/>
      <c r="B57" s="135" t="s">
        <v>61</v>
      </c>
      <c r="C57" s="753"/>
      <c r="D57" s="754"/>
      <c r="E57" s="109"/>
      <c r="F57" s="661" t="s">
        <v>468</v>
      </c>
      <c r="G57" s="662"/>
      <c r="H57" s="662"/>
      <c r="I57" s="663"/>
      <c r="J57" s="256"/>
      <c r="K57" s="318" t="str">
        <f>IF(OR($C$44="No",$C$44=""),"",'Project SqFt'!$O$15)</f>
        <v/>
      </c>
    </row>
    <row r="58" spans="1:11" ht="16.5" thickBot="1" x14ac:dyDescent="0.3">
      <c r="A58" s="475"/>
      <c r="B58" s="591" t="s">
        <v>765</v>
      </c>
      <c r="C58" s="751" t="str">
        <f>IF(OR($C$44="No",$C$44=""),"",SUM($C$53:$D$57))</f>
        <v/>
      </c>
      <c r="D58" s="752"/>
      <c r="E58" s="109"/>
      <c r="F58" s="674" t="s">
        <v>469</v>
      </c>
      <c r="G58" s="674"/>
      <c r="H58" s="674"/>
      <c r="I58" s="674"/>
      <c r="J58" s="398" t="str">
        <f>IF(OR($C$44="No",$C$44=""),"",SUM($J$50:$J$52))</f>
        <v/>
      </c>
      <c r="K58" s="399" t="str">
        <f>IF(OR($C$44="No",$C$44=""),"",SUM($K$50:$K$57))</f>
        <v/>
      </c>
    </row>
    <row r="59" spans="1:11" x14ac:dyDescent="0.25">
      <c r="A59" s="475"/>
      <c r="B59" s="109"/>
      <c r="C59" s="107"/>
      <c r="F59" s="126"/>
      <c r="G59" s="126"/>
      <c r="H59" s="126"/>
      <c r="I59" s="126"/>
      <c r="K59" s="312"/>
    </row>
    <row r="60" spans="1:11" ht="15.75" x14ac:dyDescent="0.25">
      <c r="A60" s="430"/>
      <c r="B60" s="683" t="s">
        <v>720</v>
      </c>
      <c r="C60" s="683"/>
      <c r="D60" s="683"/>
      <c r="E60" s="683"/>
      <c r="F60" s="683"/>
      <c r="G60" s="683"/>
      <c r="H60" s="683"/>
      <c r="I60" s="683"/>
      <c r="J60" s="205"/>
      <c r="K60" s="560"/>
    </row>
    <row r="61" spans="1:11" x14ac:dyDescent="0.25">
      <c r="A61" s="475"/>
      <c r="B61" s="665" t="s">
        <v>715</v>
      </c>
      <c r="C61" s="665"/>
      <c r="D61" s="684"/>
      <c r="E61" s="684"/>
      <c r="F61" s="121" t="str">
        <f>IF(OR($C$44="No",$C$44=""),"",IFERROR($D$61/$J$58,""))</f>
        <v/>
      </c>
      <c r="G61" s="664" t="s">
        <v>1078</v>
      </c>
      <c r="H61" s="665"/>
      <c r="I61" s="666"/>
      <c r="J61" s="89"/>
      <c r="K61" s="132" t="str">
        <f>IF(OR($C$44="No",$C$44=""),"",IFERROR($J$61/$J$58,""))</f>
        <v/>
      </c>
    </row>
    <row r="62" spans="1:11" ht="15.75" thickBot="1" x14ac:dyDescent="0.3">
      <c r="A62" s="124"/>
      <c r="B62" s="401" t="s">
        <v>716</v>
      </c>
      <c r="C62" s="440"/>
      <c r="D62" s="687"/>
      <c r="E62" s="687"/>
      <c r="F62" s="402" t="str">
        <f>IF(OR($C$44="No",$C$44=""),"",IFERROR($D$62/$J$58,""))</f>
        <v/>
      </c>
      <c r="G62" s="226"/>
      <c r="H62" s="401"/>
      <c r="I62" s="401" t="s">
        <v>717</v>
      </c>
      <c r="J62" s="477"/>
      <c r="K62" s="403" t="str">
        <f>IF(OR($C$44="No",$C$44=""),"",IFERROR($J$62/$J$58,""))</f>
        <v/>
      </c>
    </row>
    <row r="63" spans="1:11" ht="9.9499999999999993" customHeight="1" thickBot="1" x14ac:dyDescent="0.3">
      <c r="A63" s="109"/>
      <c r="F63" s="164"/>
      <c r="G63" s="164"/>
      <c r="H63" s="164"/>
      <c r="I63" s="164"/>
      <c r="J63" s="110"/>
      <c r="K63" s="111"/>
    </row>
    <row r="64" spans="1:11" ht="18.75" x14ac:dyDescent="0.25">
      <c r="A64" s="745" t="s">
        <v>722</v>
      </c>
      <c r="B64" s="746"/>
      <c r="C64" s="746"/>
      <c r="D64" s="746"/>
      <c r="E64" s="746"/>
      <c r="F64" s="746"/>
      <c r="G64" s="746"/>
      <c r="H64" s="746"/>
      <c r="I64" s="746"/>
      <c r="J64" s="746"/>
      <c r="K64" s="747"/>
    </row>
    <row r="65" spans="1:13" ht="9.9499999999999993" customHeight="1" x14ac:dyDescent="0.25">
      <c r="A65" s="392"/>
      <c r="B65" s="393"/>
      <c r="C65" s="393"/>
      <c r="D65" s="393"/>
      <c r="E65" s="393"/>
      <c r="F65" s="393"/>
      <c r="G65" s="393"/>
      <c r="H65" s="393"/>
      <c r="I65" s="393"/>
      <c r="J65" s="393"/>
      <c r="K65" s="394"/>
    </row>
    <row r="66" spans="1:13" x14ac:dyDescent="0.25">
      <c r="A66" s="678" t="s">
        <v>723</v>
      </c>
      <c r="B66" s="679"/>
      <c r="C66" s="142"/>
      <c r="E66" s="665" t="s">
        <v>724</v>
      </c>
      <c r="F66" s="665"/>
      <c r="G66" s="665"/>
      <c r="H66" s="665"/>
      <c r="I66" s="141"/>
      <c r="K66" s="312"/>
    </row>
    <row r="67" spans="1:13" x14ac:dyDescent="0.25">
      <c r="A67" s="678" t="s">
        <v>25</v>
      </c>
      <c r="B67" s="679"/>
      <c r="C67" s="708"/>
      <c r="D67" s="709"/>
      <c r="E67" s="709"/>
      <c r="F67" s="709"/>
      <c r="G67" s="709"/>
      <c r="H67" s="709"/>
      <c r="I67" s="763"/>
      <c r="K67" s="312"/>
    </row>
    <row r="68" spans="1:13" x14ac:dyDescent="0.25">
      <c r="A68" s="677" t="s">
        <v>698</v>
      </c>
      <c r="B68" s="665"/>
      <c r="C68" s="88"/>
      <c r="E68" s="164"/>
      <c r="F68" s="665" t="s">
        <v>708</v>
      </c>
      <c r="G68" s="665"/>
      <c r="H68" s="665"/>
      <c r="I68" s="721" t="str">
        <f>IF(OR($C$66="No",$C$66=""),"","Commitment Date")</f>
        <v/>
      </c>
      <c r="J68" s="723"/>
      <c r="K68" s="312"/>
    </row>
    <row r="69" spans="1:13" ht="9.9499999999999993" customHeight="1" x14ac:dyDescent="0.25">
      <c r="A69" s="476"/>
      <c r="B69" s="164"/>
      <c r="C69" s="387"/>
      <c r="E69" s="164"/>
      <c r="F69" s="164"/>
      <c r="G69" s="164"/>
      <c r="H69" s="164"/>
      <c r="I69" s="395"/>
      <c r="K69" s="312"/>
    </row>
    <row r="70" spans="1:13" x14ac:dyDescent="0.25">
      <c r="A70" s="316"/>
      <c r="I70" s="652" t="s">
        <v>465</v>
      </c>
      <c r="J70" s="653"/>
      <c r="K70" s="654"/>
    </row>
    <row r="71" spans="1:13" x14ac:dyDescent="0.25">
      <c r="A71" s="760" t="s">
        <v>1103</v>
      </c>
      <c r="B71" s="680"/>
      <c r="C71" s="688"/>
      <c r="D71" s="432" t="str">
        <f>IF(OR($C$66="No",$C$66=""),"",IF(OR($C$67=$Q$144,$C$67=$Q$147),$S$141,IF($D$72="","",IF($D$72&lt;$R$138,$S$138,IF(AND($D$72&gt;$R$138,$D$72&lt;=$R$139),$S$139,IF($D$72&gt;=$R$140,$S$140,""))))))</f>
        <v/>
      </c>
      <c r="E71" s="578"/>
      <c r="F71" s="655" t="s">
        <v>866</v>
      </c>
      <c r="G71" s="655"/>
      <c r="H71" s="655"/>
      <c r="I71" s="655"/>
      <c r="J71" s="194" t="s">
        <v>169</v>
      </c>
      <c r="K71" s="314" t="s">
        <v>383</v>
      </c>
    </row>
    <row r="72" spans="1:13" x14ac:dyDescent="0.25">
      <c r="A72" s="760" t="s">
        <v>769</v>
      </c>
      <c r="B72" s="680"/>
      <c r="C72" s="688"/>
      <c r="D72" s="579" t="str">
        <f>IF(OR($C$66="No",$C$66=""),"",IFERROR('Cost Allocations'!$C$48/$D$77,""))</f>
        <v/>
      </c>
      <c r="E72" s="580"/>
      <c r="F72" s="656" t="s">
        <v>869</v>
      </c>
      <c r="G72" s="656"/>
      <c r="H72" s="656"/>
      <c r="I72" s="656"/>
      <c r="J72" s="315" t="str">
        <f>IF(OR($C$66="No",$C$66=""),"",SUM(COUNTIFS('Project SqFt'!$F$18:$F$87,"20 / 20"),COUNTIFS('Project SqFt'!$M$18:$M$87,"20 / 20"),COUNTIFS('Project SqFt'!$U$18:$U$87,"20 / 20"),COUNTIFS('Project SqFt'!$F$18:$F$87,"30 / 30"),COUNTIFS('Project SqFt'!$M$18:$M$87,"30 / 30"),COUNTIFS('Project SqFt'!$U$18:$U$87,"30 / 30"),COUNTIFS('Project SqFt'!$F$18:$F$87,"40 / Low-HOME"),COUNTIFS('Project SqFt'!$M$18:$M$87,"40 / Low-HOME"),COUNTIFS('Project SqFt'!$U$18:$U$87,"40 / Low-HOME"),COUNTIFS('Project SqFt'!$F$18:$F$87,"40 / 40"),COUNTIFS('Project SqFt'!$M$18:$M$87,"40 / 40"),COUNTIFS('Project SqFt'!$U$18:$U$87,"40 / 40"),COUNTIFS('Project SqFt'!$F$18:$F$87,"50 / Low-HOME"),COUNTIFS('Project SqFt'!$M$18:$M$87,"50 / Low-HOME"),COUNTIFS('Project SqFt'!$U$18:$U$87,"50 / Low-HOME"),COUNTIFS('Project SqFt'!$F$91:$F$160,"20 / 20"),COUNTIFS('Project SqFt'!$M$91:$M$160,"20 / 20"),COUNTIFS('Project SqFt'!$U$91:$U$160,"20 / 20"),COUNTIFS('Project SqFt'!$F$91:$F$160,"30 / 30"),COUNTIFS('Project SqFt'!$M$91:$M$160,"30 / 30"),COUNTIFS('Project SqFt'!$U$91:$U$160,"30 / 30"),COUNTIFS('Project SqFt'!$F$91:$F$160,"40 / Low-HOME"),COUNTIFS('Project SqFt'!$M$91:$M$160,"40 / Low-HOME"),COUNTIFS('Project SqFt'!$U$91:$U$160,"40 / Low-HOME"),COUNTIFS('Project SqFt'!$F$91:$F$160,"40 / 40"),COUNTIFS('Project SqFt'!$M$91:$M$160,"40 / 40"),COUNTIFS('Project SqFt'!$U$91:$U$160,"40 / 40"),COUNTIFS('Project SqFt'!$F$91:$F$160,"50 / Low-HOME"),COUNTIFS('Project SqFt'!$M$91:$M$160,"50 / Low-HOME"),COUNTIFS('Project SqFt'!$U$91:$U$160,"50 / Low-HOME")))</f>
        <v/>
      </c>
      <c r="K72" s="318" t="str">
        <f>IF(OR($C$66="No",$C$66=""),"",SUM(SUMIFS('Project SqFt'!$C$18:$C$87,'Project SqFt'!$F$18:$F$87,"20 / 20"),SUMIFS('Project SqFt'!$K$18:$K$87,'Project SqFt'!$M$18:$M$87,"20 / 20"),SUMIFS('Project SqFt'!$R$18:$R$87,'Project SqFt'!$U$18:$U$87,"20 / 20"),SUMIFS('Project SqFt'!$C$18:$C$87,'Project SqFt'!$F$18:$F$87,"30 / 30"),SUMIFS('Project SqFt'!$K$18:$K$87,'Project SqFt'!$M$18:$M$87,"30 / 30"),SUMIFS('Project SqFt'!$R$18:$R$87,'Project SqFt'!$U$18:$U$87,"30 / 30"),SUMIFS('Project SqFt'!$C$18:$C$87,'Project SqFt'!$F$18:$F$87,"40 / Low-HOME"),SUMIFS('Project SqFt'!$K$18:$K$87,'Project SqFt'!$M$18:$M$87,"40 / Low-HOME"),SUMIFS('Project SqFt'!$R$18:$R$87,'Project SqFt'!$U$18:$U$87,"40 / Low-HOME"),SUMIFS('Project SqFt'!$C$18:$C$87,'Project SqFt'!$F$18:$F$87,"40 / 40"),SUMIFS('Project SqFt'!$K$18:$K$87,'Project SqFt'!$M$18:$M$87,"40 / 40"),SUMIFS('Project SqFt'!$R$18:$R$87,'Project SqFt'!$U$18:$U$87,"40 / 40"),SUMIFS('Project SqFt'!$C$18:$C$87,'Project SqFt'!$F$18:$F$87,"50 / Low-HOME"),SUMIFS('Project SqFt'!$K$18:$K$87,'Project SqFt'!$M$18:$M$87,"50 / Low-HOME"),SUMIFS('Project SqFt'!$R$18:$R$87,'Project SqFt'!$U$18:$U$87,"50 / Low-HOME"),SUMIFS('Project SqFt'!$C$91:$C$160,'Project SqFt'!$F$91:$F$160,"20 / 20"),SUMIFS('Project SqFt'!$K$91:$K$160,'Project SqFt'!$M$91:$M$160,"20 / 20"),SUMIFS('Project SqFt'!$R$91:$R$160,'Project SqFt'!$U$91:$U$160,"20 / 20"),SUMIFS('Project SqFt'!$C$91:$C$160,'Project SqFt'!$F$91:$F$160,"30 / 30"),SUMIFS('Project SqFt'!$K$91:$K$160,'Project SqFt'!$M$91:$M$160,"30 / 30"),SUMIFS('Project SqFt'!$R$91:$R$160,'Project SqFt'!$U$91:$U$160,"30 / 30"),SUMIFS('Project SqFt'!$C$91:$C$160,'Project SqFt'!$F$91:$F$160,"40 / Low-HOME"),SUMIFS('Project SqFt'!$K$91:$K$160,'Project SqFt'!$M$91:$M$160,"40 / Low-HOME"),SUMIFS('Project SqFt'!$R$91:$R$160,'Project SqFt'!$U$91:$U$160,"40 / Low-HOME"),SUMIFS('Project SqFt'!$C$91:$C$160,'Project SqFt'!$F$91:$F$160,"40 / 40"),SUMIFS('Project SqFt'!$K$91:$K$160,'Project SqFt'!$M$91:$M$160,"40 / 40"),SUMIFS('Project SqFt'!$R$91:$R$160,'Project SqFt'!$U$91:$U$160,"40 / 40"),SUMIFS('Project SqFt'!$C$91:$C$160,'Project SqFt'!$F$91:$F$160,"50 / Low-HOME"),SUMIFS('Project SqFt'!$K$91:$K$160,'Project SqFt'!$M$91:$M$160,"50 / Low-HOME"),SUMIFS('Project SqFt'!$R$91:$R$160,'Project SqFt'!$U$91:$U$160,"50 / Low-HOME")))</f>
        <v/>
      </c>
    </row>
    <row r="73" spans="1:13" ht="15.75" thickBot="1" x14ac:dyDescent="0.3">
      <c r="A73" s="316"/>
      <c r="D73" s="201"/>
      <c r="E73" s="581"/>
      <c r="F73" s="656" t="s">
        <v>1013</v>
      </c>
      <c r="G73" s="656"/>
      <c r="H73" s="656"/>
      <c r="I73" s="656"/>
      <c r="J73" s="315" t="str">
        <f>IF(OR($C$66="No",$C$66=""),"",SUM(COUNTIFS('Project SqFt'!$F$18:$F$87,"60 / High-HOME"),COUNTIFS('Project SqFt'!$M$18:$M$87,"60 / High-HOME"),COUNTIFS('Project SqFt'!$U$18:$U$87,"60 / High-HOME"),COUNTIFS('Project SqFt'!$F$18:$F$87,"70 / High-HOME"),COUNTIFS('Project SqFt'!$M$18:$M$87,"70 / High-HOME"),COUNTIFS('Project SqFt'!$U$18:$U$87,"70 / High-HOME"),COUNTIFS('Project SqFt'!$F$18:$F$87,"80 / High-HOME"),COUNTIFS('Project SqFt'!$M$18:$M$87,"80 / High-HOME"),COUNTIFS('Project SqFt'!$U$18:$U$87,"80 / High-HOME"),COUNTIFS('Project SqFt'!$F$91:$F$160,"60 / High-HOME"),COUNTIFS('Project SqFt'!$M$91:$M$160,"60 / High-HOME"),COUNTIFS('Project SqFt'!$U$91:$U$160,"60 / High-HOME"),COUNTIFS('Project SqFt'!$F$91:$F$160,"70 / High-HOME"),COUNTIFS('Project SqFt'!$M$91:$M$160,"70 / High-HOME"),COUNTIFS('Project SqFt'!$U$91:$U$160,"70 / High-HOME"),COUNTIFS('Project SqFt'!$F$91:$F$160,"80 / High-HOME"),COUNTIFS('Project SqFt'!$M$91:$M$160,"80 / High-HOME"),COUNTIFS('Project SqFt'!$U$91:$U$160,"80 / High-HOME")))</f>
        <v/>
      </c>
      <c r="K73" s="318" t="str">
        <f>IF(OR($C$66="No",$C$66=""),"",SUM(SUMIFS('Project SqFt'!$C$18:$C$87,'Project SqFt'!$F$18:$F$87,"60 / High-HOME"),SUMIFS('Project SqFt'!$K$18:$K$87,'Project SqFt'!$M$18:$M$87,"60 / High-HOME"),SUMIFS('Project SqFt'!$R$18:$R$87,'Project SqFt'!$U$18:$U$87,"60 / High-HOME"),SUMIFS('Project SqFt'!$C$18:$C$87,'Project SqFt'!$F$18:$F$87,"70 / High-HOME"),SUMIFS('Project SqFt'!$K$18:$K$87,'Project SqFt'!$M$18:$M$87,"70 / High-HOME"),SUMIFS('Project SqFt'!$R$18:$R$87,'Project SqFt'!$U$18:$U$87,"70 / High-HOME"),SUMIFS('Project SqFt'!$C$18:$C$87,'Project SqFt'!$F$18:$F$87,"80 / High-HOME"),SUMIFS('Project SqFt'!$K$18:$K$87,'Project SqFt'!$M$18:$M$87,"80 / High-HOME"),SUMIFS('Project SqFt'!$R$18:$R$87,'Project SqFt'!$U$18:$U$87,"80 / High-HOME"),SUMIFS('Project SqFt'!$C$91:$C$160,'Project SqFt'!$F$91:$F$160,"60 / High-HOME"),SUMIFS('Project SqFt'!$K$91:$K$160,'Project SqFt'!$M$91:$M$160,"60 / High-HOME"),SUMIFS('Project SqFt'!$R$91:$R$160,'Project SqFt'!$U$91:$U$160,"60 / High-HOME"),SUMIFS('Project SqFt'!$C$91:$C$160,'Project SqFt'!$F$91:$F$160,"70 / High-HOME"),SUMIFS('Project SqFt'!$K$91:$K$160,'Project SqFt'!$M$91:$M$160,"70 / High-HOME"),SUMIFS('Project SqFt'!$R$91:$R$160,'Project SqFt'!$U$91:$U$160,"70 / High-HOME"),SUMIFS('Project SqFt'!$C$91:$C$160,'Project SqFt'!$F$91:$F$160,"80 / High-HOME"),SUMIFS('Project SqFt'!$K$91:$K$160,'Project SqFt'!$M$91:$M$160,"80 / High-HOME"),SUMIFS('Project SqFt'!$R$91:$R$160,'Project SqFt'!$U$91:$U$160,"80 / High-HOME")))</f>
        <v/>
      </c>
    </row>
    <row r="74" spans="1:13" x14ac:dyDescent="0.25">
      <c r="A74" s="316"/>
      <c r="B74" s="770" t="s">
        <v>767</v>
      </c>
      <c r="C74" s="771"/>
      <c r="D74" s="772"/>
      <c r="E74" s="493"/>
      <c r="F74" s="657" t="s">
        <v>462</v>
      </c>
      <c r="G74" s="658"/>
      <c r="H74" s="658"/>
      <c r="I74" s="659"/>
      <c r="J74" s="125" t="str">
        <f>IF(OR($C$66="No",$C$66=""),"",SUM(COUNTIFS('Project SqFt'!$F$18:$F$87,"50 / 50"),COUNTIFS('Project SqFt'!$M$18:$M$87,"50 / 50"),COUNTIFS('Project SqFt'!$U$18:$U$87,"50 / 50"),COUNTIFS('Project SqFt'!$F$18:$F$87,"60 / 60"),COUNTIFS('Project SqFt'!$M$18:$M$87,"60 / 60"),COUNTIFS('Project SqFt'!$U$18:$U$87,"60 / 60"),COUNTIFS('Project SqFt'!$F$18:$F$87,"70 / 70"),COUNTIFS('Project SqFt'!$M$18:$M$87,"70 / 70"),COUNTIFS('Project SqFt'!$U$18:$U$87,"70 / 70"),COUNTIFS('Project SqFt'!$F$18:$F$87,"80 / 50"),COUNTIFS('Project SqFt'!$M$18:$M$87,"80 / 50"),COUNTIFS('Project SqFt'!$U$18:$U$87,"80 / 50"),COUNTIFS('Project SqFt'!$F$18:$F$87,"80 / 80"),COUNTIFS('Project SqFt'!$M$18:$M$87,"80 / 80"),COUNTIFS('Project SqFt'!$U$18:$U$87,"80 / 80"),COUNTIFS('Project SqFt'!$F$18:$F$87,"140 / 80"),COUNTIFS('Project SqFt'!$M$18:$M$87,"140 / 80"),COUNTIFS('Project SqFt'!$U$18:$U$87,"140 / 80"),COUNTIFS('Project SqFt'!$F$18:$F$87,"Other Restricted"),COUNTIFS('Project SqFt'!$M$18:$M$87,"Other Restricted"),COUNTIFS('Project SqFt'!$U$18:$U$87,"Other Restricted"),COUNTIFS('Project SqFt'!$F$91:$F$160,"50 / 50"),COUNTIFS('Project SqFt'!$M$91:$M$160,"50 / 50"),COUNTIFS('Project SqFt'!$U$91:$U$160,"50 / 50"),COUNTIFS('Project SqFt'!$F$91:$F$160,"60 / 60"),COUNTIFS('Project SqFt'!$M$91:$M$160,"60 / 60"),COUNTIFS('Project SqFt'!$U$91:$U$160,"60 / 60"),COUNTIFS('Project SqFt'!$F$91:$F$160,"70 / 70"),COUNTIFS('Project SqFt'!$M$91:$M$160,"70 / 70"),COUNTIFS('Project SqFt'!$U$91:$U$160,"70 / 70"),COUNTIFS('Project SqFt'!$F$91:$F$160,"80 / 50"),COUNTIFS('Project SqFt'!$M$91:$M$160,"80 / 50"),COUNTIFS('Project SqFt'!$U$91:$U$160,"80 / 50"),COUNTIFS('Project SqFt'!$F$91:$F$160,"80 / 80"),COUNTIFS('Project SqFt'!$M$91:$M$160,"80 / 80"),COUNTIFS('Project SqFt'!$U$91:$U$160,"80 / 80"),COUNTIFS('Project SqFt'!$F$91:$F$160,"140 / 80"),COUNTIFS('Project SqFt'!$M$91:$M$160,"140 / 80"),COUNTIFS('Project SqFt'!$U$91:$U$160,"140 / 80"),COUNTIFS('Project SqFt'!$F$91:$F$160,"Other Restricted"),COUNTIFS('Project SqFt'!$M$91:$M$160,"Other Restricted"),COUNTIFS('Project SqFt'!$U$91:$U$160,"Other Restricted")))</f>
        <v/>
      </c>
      <c r="K74" s="318" t="str">
        <f>IF(OR($C$66="No",$C$66=""),"",SUM(SUMIFS('Project SqFt'!$C$18:$C$87,'Project SqFt'!$F$18:$F$87,"50 / 50"),SUMIFS('Project SqFt'!$K$18:$K$87,'Project SqFt'!$M$18:$M$87,"50 / 50"),SUMIFS('Project SqFt'!$R$18:$R$87,'Project SqFt'!$U$18:$U$87,"50 / 50"),SUMIFS('Project SqFt'!$C$18:$C$87,'Project SqFt'!$F$18:$F$87,"60 / 60"),SUMIFS('Project SqFt'!$K$18:$K$87,'Project SqFt'!$M$18:$M$87,"60 / 60"),SUMIFS('Project SqFt'!$R$18:$R$87,'Project SqFt'!$U$18:$U$87,"60 / 60"),SUMIFS('Project SqFt'!$C$18:$C$87,'Project SqFt'!$F$18:$F$87,"70 / 70"),SUMIFS('Project SqFt'!$K$18:$K$87,'Project SqFt'!$M$18:$M$87,"70 / 70"),SUMIFS('Project SqFt'!$R$18:$R$87,'Project SqFt'!$U$18:$U$87,"70 / 70"),SUMIFS('Project SqFt'!$C$18:$C$87,'Project SqFt'!$F$18:$F$87,"80 / 50"),SUMIFS('Project SqFt'!$K$18:$K$87,'Project SqFt'!$M$18:$M$87,"80 / 50"),SUMIFS('Project SqFt'!$R$18:$R$87,'Project SqFt'!$U$18:$U$87,"80 / 50"),SUMIFS('Project SqFt'!$C$18:$C$87,'Project SqFt'!$F$18:$F$87,"80 / 80"),SUMIFS('Project SqFt'!$K$18:$K$87,'Project SqFt'!$M$18:$M$87,"80 / 80"),SUMIFS('Project SqFt'!$R$18:$R$87,'Project SqFt'!$U$18:$U$87,"80 / 80"),SUMIFS('Project SqFt'!$C$18:$C$87,'Project SqFt'!$F$18:$F$87,"140 / 80"),SUMIFS('Project SqFt'!$K$18:$K$87,'Project SqFt'!$M$18:$M$87,"140 / 80"),SUMIFS('Project SqFt'!$R$18:$R$87,'Project SqFt'!$U$18:$U$87,"140 / 80"),SUMIFS('Project SqFt'!$C$18:$C$87,'Project SqFt'!$F$18:$F$87,"Other Restricted"),SUMIFS('Project SqFt'!$K$18:$K$87,'Project SqFt'!$M$18:$M$87,"Other Restricted"),SUMIFS('Project SqFt'!$R$18:$R$87,'Project SqFt'!$U$18:$U$87,"Other Restricted"),SUMIFS('Project SqFt'!$C$91:$C$160,'Project SqFt'!$F$91:$F$160,"50 / 50"),SUMIFS('Project SqFt'!$K$91:$K$160,'Project SqFt'!$M$91:$M$160,"50 / 50"),SUMIFS('Project SqFt'!$R$91:$R$160,'Project SqFt'!$U$91:$U$160,"50 / 50"),SUMIFS('Project SqFt'!$C$91:$C$160,'Project SqFt'!$F$91:$F$160,"60 / 60"),SUMIFS('Project SqFt'!$K$91:$K$160,'Project SqFt'!$M$91:$M$160,"60 / 60"),SUMIFS('Project SqFt'!$R$91:$R$160,'Project SqFt'!$U$91:$U$160,"60 / 60"),SUMIFS('Project SqFt'!$C$91:$C$160,'Project SqFt'!$F$91:$F$160,"70 / 70"),SUMIFS('Project SqFt'!$K$91:$K$160,'Project SqFt'!$M$91:$M$160,"70 / 70"),SUMIFS('Project SqFt'!$R$91:$R$160,'Project SqFt'!$U$91:$U$160,"70 / 70"),SUMIFS('Project SqFt'!$C$91:$C$160,'Project SqFt'!$F$91:$F$160,"80 / 50"),SUMIFS('Project SqFt'!$K$91:$K$160,'Project SqFt'!$M$91:$M$160,"80 / 50"),SUMIFS('Project SqFt'!$R$91:$R$160,'Project SqFt'!$U$91:$U$160,"80 / 50"),SUMIFS('Project SqFt'!$C$91:$C$160,'Project SqFt'!$F$91:$F$160,"80 / 80"),SUMIFS('Project SqFt'!$K$91:$K$160,'Project SqFt'!$M$91:$M$160,"80 / 80"),SUMIFS('Project SqFt'!$R$91:$R$160,'Project SqFt'!$U$91:$U$160,"80 / 80"),SUMIFS('Project SqFt'!$C$91:$C$160,'Project SqFt'!$F$91:$F$160,"140 / 80"),SUMIFS('Project SqFt'!$K$91:$K$160,'Project SqFt'!$M$91:$M$160,"140 / 80"),SUMIFS('Project SqFt'!$R$91:$R$160,'Project SqFt'!$U$91:$U$160,"140 / 80"),SUMIFS('Project SqFt'!$C$91:$C$160,'Project SqFt'!$F$91:$F$160,"Other Restricted"),SUMIFS('Project SqFt'!$K$91:$K$160,'Project SqFt'!$M$91:$M$160,"Other Restricted"),SUMIFS('Project SqFt'!$R$91:$R$160,'Project SqFt'!$U$91:$U$160,"Other Restricted")))</f>
        <v/>
      </c>
    </row>
    <row r="75" spans="1:13" x14ac:dyDescent="0.25">
      <c r="A75" s="316"/>
      <c r="B75" s="724" t="s">
        <v>768</v>
      </c>
      <c r="C75" s="725"/>
      <c r="D75" s="438"/>
      <c r="E75" s="180"/>
      <c r="F75" s="660" t="s">
        <v>464</v>
      </c>
      <c r="G75" s="660"/>
      <c r="H75" s="660"/>
      <c r="I75" s="660"/>
      <c r="J75" s="194" t="str">
        <f>IF(OR($C$66="No",$C$66=""),"",SUM(COUNTIFS('Project SqFt'!$F$18:$F$87,"Unrestricted"),COUNTIFS('Project SqFt'!$M$18:$M$87,"Unrestricted"),COUNTIFS('Project SqFt'!$U$18:$U$87,"Unrestricted"),COUNTIFS('Project SqFt'!$F$91:$F$160,"Unrestricted"),COUNTIFS('Project SqFt'!$M$91:$M$160,"Unrestricted"),COUNTIFS('Project SqFt'!$U$91:$U$160,"Unrestricted")))</f>
        <v/>
      </c>
      <c r="K75" s="318" t="str">
        <f>IF(OR($C$66="No",$C$66=""),"",SUM(SUMIFS('Project SqFt'!$C$18:$C$87,'Project SqFt'!$F$18:$F$87,"Unrestricted"),SUMIFS('Project SqFt'!$K$18:$K$87,'Project SqFt'!$M$18:$M$87,"Unrestricted"),SUMIFS('Project SqFt'!$R$18:$R$87,'Project SqFt'!$U$18:$U$87,"Unrestricted"),SUMIFS('Project SqFt'!$C$91:$C$160,'Project SqFt'!$F$91:$F$160,"Unrestricted"),SUMIFS('Project SqFt'!$K$91:$K$160,'Project SqFt'!$M$91:$M$160,"Unrestricted"),SUMIFS('Project SqFt'!$R$91:$R$160,'Project SqFt'!$U$91:$U$160,"Unrestricted")))</f>
        <v/>
      </c>
    </row>
    <row r="76" spans="1:13" x14ac:dyDescent="0.25">
      <c r="A76" s="316"/>
      <c r="B76" s="724" t="s">
        <v>766</v>
      </c>
      <c r="C76" s="725"/>
      <c r="D76" s="569"/>
      <c r="E76" s="319"/>
      <c r="F76" s="657" t="s">
        <v>489</v>
      </c>
      <c r="G76" s="658"/>
      <c r="H76" s="658"/>
      <c r="I76" s="659"/>
      <c r="J76" s="194" t="str">
        <f>IF(OR($C$66="No",$C$66=""),"",SUM(COUNTIFS('Project SqFt'!$F$18:$F$87,"Staff"),COUNTIFS('Project SqFt'!$M$18:$M$87,"Staff"),COUNTIFS('Project SqFt'!$U$18:$U$87,"Staff"),COUNTIFS('Project SqFt'!$F$91:$F$160,"Staff"),COUNTIFS('Project SqFt'!$M$91:$M$160,"Staff"),COUNTIFS('Project SqFt'!$U$91:$U$160,"Staff")))</f>
        <v/>
      </c>
      <c r="K76" s="318" t="str">
        <f>IF(OR($C$66="No",$C$66=""),"",SUM(SUMIFS('Project SqFt'!$C$18:$C$87,'Project SqFt'!$F$18:$F$87,"Staff"),SUMIFS('Project SqFt'!$K$18:$K$87,'Project SqFt'!$M$18:$M$87,"Staff"),SUMIFS('Project SqFt'!$R$18:$R$87,'Project SqFt'!$U$18:$U$87,"Staff"),SUMIFS('Project SqFt'!$C$91:$C$160,'Project SqFt'!$F$91:$F$160,"Staff"),SUMIFS('Project SqFt'!$K$91:$K$160,'Project SqFt'!$M$91:$M$160,"Staff"),SUMIFS('Project SqFt'!$R$91:$R$160,'Project SqFt'!$U$91:$U$160,"Staff")))</f>
        <v/>
      </c>
    </row>
    <row r="77" spans="1:13" ht="15.75" thickBot="1" x14ac:dyDescent="0.3">
      <c r="A77" s="316"/>
      <c r="B77" s="582"/>
      <c r="C77" s="583" t="s">
        <v>765</v>
      </c>
      <c r="D77" s="520" t="str">
        <f>IF(OR($C$66="No",$C$66=""),"",SUM($D$75:$D$76))</f>
        <v/>
      </c>
      <c r="E77" s="147"/>
      <c r="F77" s="657" t="s">
        <v>463</v>
      </c>
      <c r="G77" s="658"/>
      <c r="H77" s="658"/>
      <c r="I77" s="659"/>
      <c r="J77" s="317"/>
      <c r="K77" s="318" t="str">
        <f>IF(OR($C$66="No",$C$66=""),"",'Project SqFt'!$B$15)</f>
        <v/>
      </c>
    </row>
    <row r="78" spans="1:13" x14ac:dyDescent="0.25">
      <c r="A78" s="316"/>
      <c r="E78" s="147"/>
      <c r="F78" s="661" t="s">
        <v>466</v>
      </c>
      <c r="G78" s="662"/>
      <c r="H78" s="662"/>
      <c r="I78" s="663"/>
      <c r="J78" s="315" t="str">
        <f>IF(OR($C$66="No",$C$66=""),"",'Project SqFt'!$G$15)</f>
        <v/>
      </c>
      <c r="K78" s="318" t="str">
        <f>IF(OR($C$66="No",$C$66=""),"",'Project SqFt'!$F$15)</f>
        <v/>
      </c>
      <c r="M78" s="127"/>
    </row>
    <row r="79" spans="1:13" x14ac:dyDescent="0.25">
      <c r="A79" s="316"/>
      <c r="E79" s="319"/>
      <c r="F79" s="661" t="s">
        <v>467</v>
      </c>
      <c r="G79" s="662"/>
      <c r="H79" s="662"/>
      <c r="I79" s="663"/>
      <c r="J79" s="315" t="str">
        <f>IF(OR($C$66="No",$C$66=""),"",'Project SqFt'!$L$15)</f>
        <v/>
      </c>
      <c r="K79" s="318" t="str">
        <f>IF(OR($C$66="No",$C$66=""),"",'Project SqFt'!$K$15)</f>
        <v/>
      </c>
    </row>
    <row r="80" spans="1:13" x14ac:dyDescent="0.25">
      <c r="A80" s="577"/>
      <c r="B80" s="534"/>
      <c r="C80" s="534"/>
      <c r="D80" s="147"/>
      <c r="E80" s="147"/>
      <c r="F80" s="661" t="s">
        <v>468</v>
      </c>
      <c r="G80" s="662"/>
      <c r="H80" s="662"/>
      <c r="I80" s="663"/>
      <c r="J80" s="256"/>
      <c r="K80" s="318" t="str">
        <f>IF(OR($C$66="No",$C$66=""),"",'Project SqFt'!$O$15)</f>
        <v/>
      </c>
    </row>
    <row r="81" spans="1:11" ht="15.75" x14ac:dyDescent="0.25">
      <c r="A81" s="316"/>
      <c r="F81" s="674" t="s">
        <v>469</v>
      </c>
      <c r="G81" s="674"/>
      <c r="H81" s="674"/>
      <c r="I81" s="674"/>
      <c r="J81" s="398" t="str">
        <f>IF(OR($C$66="No",$C$66=""),"",SUM($J$72:$J$75))</f>
        <v/>
      </c>
      <c r="K81" s="399" t="str">
        <f>IF(OR($C$66="No",$C$66=""),"",SUM($K$72:$K$80))</f>
        <v/>
      </c>
    </row>
    <row r="82" spans="1:11" x14ac:dyDescent="0.25">
      <c r="A82" s="316"/>
      <c r="F82" s="584"/>
      <c r="G82" s="584"/>
      <c r="H82" s="584"/>
      <c r="I82" s="584"/>
      <c r="J82" s="584"/>
      <c r="K82" s="585"/>
    </row>
    <row r="83" spans="1:11" ht="15.75" x14ac:dyDescent="0.25">
      <c r="A83" s="430"/>
      <c r="B83" s="683" t="s">
        <v>720</v>
      </c>
      <c r="C83" s="683"/>
      <c r="D83" s="683"/>
      <c r="E83" s="683"/>
      <c r="F83" s="683"/>
      <c r="G83" s="683"/>
      <c r="H83" s="683"/>
      <c r="I83" s="683"/>
      <c r="J83" s="205"/>
      <c r="K83" s="560"/>
    </row>
    <row r="84" spans="1:11" x14ac:dyDescent="0.25">
      <c r="A84" s="475"/>
      <c r="B84" s="665" t="s">
        <v>715</v>
      </c>
      <c r="C84" s="665"/>
      <c r="D84" s="684"/>
      <c r="E84" s="684"/>
      <c r="F84" s="121" t="str">
        <f>IF(OR($C$66="No",$C$66=""),"",IFERROR($D$84/$J$81,""))</f>
        <v/>
      </c>
      <c r="G84" s="664" t="s">
        <v>1078</v>
      </c>
      <c r="H84" s="665"/>
      <c r="I84" s="666"/>
      <c r="J84" s="89"/>
      <c r="K84" s="132" t="str">
        <f>IF(OR($C$66="No",$C$66=""),"",IFERROR($J$84/$J$81,""))</f>
        <v/>
      </c>
    </row>
    <row r="85" spans="1:11" ht="15.75" thickBot="1" x14ac:dyDescent="0.3">
      <c r="A85" s="124"/>
      <c r="B85" s="401" t="s">
        <v>716</v>
      </c>
      <c r="C85" s="440"/>
      <c r="D85" s="687"/>
      <c r="E85" s="687"/>
      <c r="F85" s="402" t="str">
        <f>IF(OR($C$66="No",$C$66=""),"",IFERROR($D$85/$J$81,""))</f>
        <v/>
      </c>
      <c r="G85" s="226"/>
      <c r="H85" s="401"/>
      <c r="I85" s="401" t="s">
        <v>717</v>
      </c>
      <c r="J85" s="477"/>
      <c r="K85" s="403" t="str">
        <f>IF(OR($C$66="No",$C$66=""),"",IFERROR($J$85/$J$81,""))</f>
        <v/>
      </c>
    </row>
    <row r="86" spans="1:11" ht="9.9499999999999993" customHeight="1" thickBot="1" x14ac:dyDescent="0.3"/>
    <row r="87" spans="1:11" ht="18.75" x14ac:dyDescent="0.25">
      <c r="A87" s="745" t="s">
        <v>487</v>
      </c>
      <c r="B87" s="746"/>
      <c r="C87" s="746"/>
      <c r="D87" s="746"/>
      <c r="E87" s="746"/>
      <c r="F87" s="746"/>
      <c r="G87" s="746"/>
      <c r="H87" s="746"/>
      <c r="I87" s="746"/>
      <c r="J87" s="746"/>
      <c r="K87" s="747"/>
    </row>
    <row r="88" spans="1:11" ht="9.9499999999999993" customHeight="1" x14ac:dyDescent="0.25">
      <c r="A88" s="392"/>
      <c r="B88" s="393"/>
      <c r="C88" s="393"/>
      <c r="D88" s="393"/>
      <c r="E88" s="393"/>
      <c r="F88" s="393"/>
      <c r="G88" s="393"/>
      <c r="H88" s="393"/>
      <c r="I88" s="393"/>
      <c r="J88" s="393"/>
      <c r="K88" s="394"/>
    </row>
    <row r="89" spans="1:11" x14ac:dyDescent="0.25">
      <c r="A89" s="678" t="s">
        <v>30</v>
      </c>
      <c r="B89" s="679"/>
      <c r="C89" s="142"/>
      <c r="E89" s="665" t="s">
        <v>1028</v>
      </c>
      <c r="F89" s="665"/>
      <c r="G89" s="665"/>
      <c r="H89" s="665"/>
      <c r="I89" s="141"/>
      <c r="K89" s="312"/>
    </row>
    <row r="90" spans="1:11" x14ac:dyDescent="0.25">
      <c r="A90" s="678" t="s">
        <v>25</v>
      </c>
      <c r="B90" s="679"/>
      <c r="C90" s="708"/>
      <c r="D90" s="709"/>
      <c r="E90" s="709"/>
      <c r="F90" s="709"/>
      <c r="G90" s="709"/>
      <c r="H90" s="709"/>
      <c r="I90" s="763"/>
      <c r="K90" s="312"/>
    </row>
    <row r="91" spans="1:11" x14ac:dyDescent="0.25">
      <c r="A91" s="677" t="s">
        <v>698</v>
      </c>
      <c r="B91" s="665"/>
      <c r="C91" s="88"/>
      <c r="E91" s="164"/>
      <c r="F91" s="665" t="s">
        <v>708</v>
      </c>
      <c r="G91" s="665"/>
      <c r="H91" s="665"/>
      <c r="I91" s="689"/>
      <c r="J91" s="690"/>
      <c r="K91" s="312"/>
    </row>
    <row r="92" spans="1:11" ht="9.9499999999999993" customHeight="1" x14ac:dyDescent="0.25">
      <c r="A92" s="476"/>
      <c r="B92" s="164"/>
      <c r="C92" s="387"/>
      <c r="E92" s="164"/>
      <c r="F92" s="164"/>
      <c r="G92" s="164"/>
      <c r="H92" s="164"/>
      <c r="I92" s="395"/>
      <c r="K92" s="312"/>
    </row>
    <row r="93" spans="1:11" x14ac:dyDescent="0.25">
      <c r="A93" s="316"/>
      <c r="I93" s="652" t="s">
        <v>465</v>
      </c>
      <c r="J93" s="653"/>
      <c r="K93" s="654"/>
    </row>
    <row r="94" spans="1:11" x14ac:dyDescent="0.25">
      <c r="A94" s="316"/>
      <c r="B94" s="680" t="s">
        <v>1106</v>
      </c>
      <c r="C94" s="688"/>
      <c r="D94" s="432" t="str">
        <f>IF(OR($C$89="No",$C$89=""),"",'Funding Sources'!$B$8)</f>
        <v/>
      </c>
      <c r="E94" s="431"/>
      <c r="F94" s="655" t="s">
        <v>866</v>
      </c>
      <c r="G94" s="655"/>
      <c r="H94" s="655"/>
      <c r="I94" s="655"/>
      <c r="J94" s="194" t="s">
        <v>169</v>
      </c>
      <c r="K94" s="314" t="s">
        <v>383</v>
      </c>
    </row>
    <row r="95" spans="1:11" x14ac:dyDescent="0.25">
      <c r="A95" s="316"/>
      <c r="B95" s="680" t="s">
        <v>541</v>
      </c>
      <c r="C95" s="680"/>
      <c r="D95" s="121" t="str">
        <f>IF(OR($C$89="No",$C$89=""),"",IFERROR($I$89/'Development Budget'!$E$121,0))</f>
        <v/>
      </c>
      <c r="F95" s="656" t="s">
        <v>868</v>
      </c>
      <c r="G95" s="656"/>
      <c r="H95" s="656"/>
      <c r="I95" s="656"/>
      <c r="J95" s="315" t="str">
        <f>IF(OR($C$89="No",$C$89=""),"",SUM(COUNTIFS('Project SqFt'!$F$18:$F$87,"20 / 20"),COUNTIFS('Project SqFt'!$M$18:$M$87,"20 / 20"),COUNTIFS('Project SqFt'!$U$18:$U$87,"20 / 20"),COUNTIFS('Project SqFt'!$F$18:$F$87,"30 / 30"),COUNTIFS('Project SqFt'!$M$18:$M$87,"30 / 30"),COUNTIFS('Project SqFt'!$U$18:$U$87,"30 / 30"),COUNTIFS('Project SqFt'!$F$91:$F$160,"20 / 20"),COUNTIFS('Project SqFt'!$M$91:$M$160,"20 / 20"),COUNTIFS('Project SqFt'!$U$91:$U$160,"20 / 20"),COUNTIFS('Project SqFt'!$F$91:$F$160,"30 / 30"),COUNTIFS('Project SqFt'!$M$91:$M$160,"30 / 30"),COUNTIFS('Project SqFt'!$U$91:$U$160,"30 / 30")))</f>
        <v/>
      </c>
      <c r="K95" s="318" t="str">
        <f>IF(OR($C$89="No",$C$89=""),"",SUM(SUMIFS('Project SqFt'!$C$18:$C$87,'Project SqFt'!$F$18:$F$87,"20 / 20"),SUMIFS('Project SqFt'!$K$18:$K$87,'Project SqFt'!$M$18:$M$87,"20 / 20"),SUMIFS('Project SqFt'!$R$18:$R$87,'Project SqFt'!$U$18:$U$87,"20 / 20"),SUMIFS('Project SqFt'!$C$18:$C$87,'Project SqFt'!$F$18:$F$87,"30 / 30"),SUMIFS('Project SqFt'!$K$18:$K$87,'Project SqFt'!$M$18:$M$87,"30 / 30"),SUMIFS('Project SqFt'!$R$18:$R$87,'Project SqFt'!$U$18:$U$87,"30 / 30"),SUMIFS('Project SqFt'!$C$91:$C$160,'Project SqFt'!$F$91:$F$160,"20 / 20"),SUMIFS('Project SqFt'!$K$91:$K$160,'Project SqFt'!$M$91:$M$160,"20 / 20"),SUMIFS('Project SqFt'!$R$91:$R$160,'Project SqFt'!$U$91:$U$160,"20 / 20"),SUMIFS('Project SqFt'!$C$91:$C$160,'Project SqFt'!$F$91:$F$160,"30 / 30"),SUMIFS('Project SqFt'!$K$91:$K$160,'Project SqFt'!$M$91:$M$160,"30 / 30"),SUMIFS('Project SqFt'!$R$91:$R$160,'Project SqFt'!$U$91:$U$160,"30 / 30")))</f>
        <v/>
      </c>
    </row>
    <row r="96" spans="1:11" x14ac:dyDescent="0.25">
      <c r="A96" s="316"/>
      <c r="B96" s="680" t="s">
        <v>540</v>
      </c>
      <c r="C96" s="680"/>
      <c r="D96" s="194" t="str">
        <f>IF(OR($C$89="No",$C$89=""),"",IFERROR(ROUNDUP($D$95*$J$105,0),0))</f>
        <v/>
      </c>
      <c r="F96" s="656" t="s">
        <v>867</v>
      </c>
      <c r="G96" s="656"/>
      <c r="H96" s="656"/>
      <c r="I96" s="656"/>
      <c r="J96" s="315" t="str">
        <f>IF(OR($C$89="No",$C$89=""),"",SUM(COUNTIFS('Project SqFt'!$F$18:$F$87,"40 / Low-HOME"),COUNTIFS('Project SqFt'!$M$18:$M$87,"40 / Low-HOME"),COUNTIFS('Project SqFt'!$U$18:$U$87,"40 / Low-HOME"),COUNTIFS('Project SqFt'!$F$18:$F$87,"40 / 40"),COUNTIFS('Project SqFt'!$M$18:$M$87,"40 / 40"),COUNTIFS('Project SqFt'!$U$18:$U$87,"40 / 40"),COUNTIFS('Project SqFt'!$F$18:$F$87,"50 / Low-HOME"),COUNTIFS('Project SqFt'!$M$18:$M$87,"50 / Low-HOME"),COUNTIFS('Project SqFt'!$U$18:$U$87,"50 / Low-HOME"),COUNTIFS('Project SqFt'!$F$18:$F$87,"50 / 50"),COUNTIFS('Project SqFt'!$M$18:$M$87,"50 / 50"),COUNTIFS('Project SqFt'!$U$18:$U$87,"50 / 50"),COUNTIFS('Project SqFt'!$F$18:$F$87,"80 / High-HOME"),COUNTIFS('Project SqFt'!$M$18:$M$87,"80 / High-HOME"),COUNTIFS('Project SqFt'!$U$18:$U$87,"80 / High-HOME"),COUNTIFS('Project SqFt'!$F$18:$F$87,"80 / 50"),COUNTIFS('Project SqFt'!$M$18:$M$87,"80 / 50"),COUNTIFS('Project SqFt'!$U$18:$U$87,"80 / 50"),COUNTIFS('Project SqFt'!$F$91:$F$160,"40 / Low-HOME"),COUNTIFS('Project SqFt'!$M$91:$M$160,"40 / Low-HOME"),COUNTIFS('Project SqFt'!$U$91:$U$160,"40 / Low-HOME"),COUNTIFS('Project SqFt'!$F$91:$F$160,"40 / 40"),COUNTIFS('Project SqFt'!$M$91:$M$160,"40 / 40"),COUNTIFS('Project SqFt'!$U$91:$U$160,"40 / 40"),COUNTIFS('Project SqFt'!$F$91:$F$160,"50 / Low-HOME"),COUNTIFS('Project SqFt'!$M$91:$M$160,"50 / Low-HOME"),COUNTIFS('Project SqFt'!$U$91:$U$160,"50 / Low-HOME"),COUNTIFS('Project SqFt'!$F$91:$F$160,"50 / 50"),COUNTIFS('Project SqFt'!$M$91:$M$160,"50 / 50"),COUNTIFS('Project SqFt'!$U$91:$U$160,"50 / 50"),COUNTIFS('Project SqFt'!$F$91:$F$160,"80 / High-HOME"),COUNTIFS('Project SqFt'!$M$91:$M$160,"80 / High-HOME"),COUNTIFS('Project SqFt'!$U$91:$U$160,"80 / High-HOME"),COUNTIFS('Project SqFt'!$F$91:$F$160,"80 / 50"),COUNTIFS('Project SqFt'!$M$91:$M$160,"80 / 50"),COUNTIFS('Project SqFt'!$U$91:$U$160,"80 / 50")))</f>
        <v/>
      </c>
      <c r="K96" s="318" t="str">
        <f>IF(OR($C$89="No",$C$89=""),"",SUM(SUMIFS('Project SqFt'!$C$18:$C$87,'Project SqFt'!$F$18:$F$87,"40 / Low-HOME"),SUMIFS('Project SqFt'!$K$18:$K$87,'Project SqFt'!$M$18:$M$87,"40 / Low-HOME"),SUMIFS('Project SqFt'!$C$18:$C$87,'Project SqFt'!$F$18:$F$87,"40 / Low-HOME"),SUMIFS('Project SqFt'!$K$18:$K$87,'Project SqFt'!$M$18:$M$87,"40 / 40"),SUMIFS('Project SqFt'!$R$18:$R$87,'Project SqFt'!$U$18:$U$87,"40 / 40"),SUMIFS('Project SqFt'!$C$18:$C$87,'Project SqFt'!$F$18:$F$87,"50 / Low-HOME"),SUMIFS('Project SqFt'!$K$18:$K$87,'Project SqFt'!$M$18:$M$87,"50 / Low-HOME"),SUMIFS('Project SqFt'!$R$18:$R$87,'Project SqFt'!$U$18:$U$87,"50 / Low-HOME"),SUMIFS('Project SqFt'!$C$18:$C$87,'Project SqFt'!$F$18:$F$87,"50 / 50"),SUMIFS('Project SqFt'!$K$18:$K$87,'Project SqFt'!$M$18:$M$87,"50 / 50"),SUMIFS('Project SqFt'!$R$18:$R$87,'Project SqFt'!$U$18:$U$87,"50 / 50"),SUMIFS('Project SqFt'!$C$18:$C$87,'Project SqFt'!$F$18:$F$87,"80 / High-HOME"),SUMIFS('Project SqFt'!$K$18:$K$87,'Project SqFt'!$M$18:$M$87,"80 / High-HOME"),SUMIFS('Project SqFt'!$R$18:$R$87,'Project SqFt'!$U$18:$U$87,"80 / High-HOME"),SUMIFS('Project SqFt'!$C$18:$C$87,'Project SqFt'!$F$18:$F$87,"80 / 50"),SUMIFS('Project SqFt'!$K$18:$K$87,'Project SqFt'!$M$18:$M$87,"80 / 50"),SUMIFS('Project SqFt'!$R$18:$R$87,'Project SqFt'!$U$18:$U$87,"80 / 50"),SUMIFS('Project SqFt'!$C$91:$C$160,'Project SqFt'!$F$91:$F$160,"40 / Low-HOME"),SUMIFS('Project SqFt'!$K$91:$K$160,'Project SqFt'!$M$91:$M$160,"40 / Low-HOME"),SUMIFS('Project SqFt'!$C$91:$C$160,'Project SqFt'!$F$91:$F$160,"40 / Low-HOME"),SUMIFS('Project SqFt'!$K$91:$K$160,'Project SqFt'!$M$91:$M$160,"40 / 40"),SUMIFS('Project SqFt'!$R$91:$R$160,'Project SqFt'!$U$91:$U$160,"40 / 40"),SUMIFS('Project SqFt'!$C$91:$C$160,'Project SqFt'!$F$91:$F$160,"50 / Low-HOME"),SUMIFS('Project SqFt'!$K$91:$K$160,'Project SqFt'!$M$91:$M$160,"50 / Low-HOME"),SUMIFS('Project SqFt'!$R$91:$R$160,'Project SqFt'!$U$91:$U$160,"50 / Low-HOME"),SUMIFS('Project SqFt'!$C$91:$C$160,'Project SqFt'!$F$91:$F$160,"50 / 50"),SUMIFS('Project SqFt'!$K$91:$K$160,'Project SqFt'!$M$91:$M$160,"50 / 50"),SUMIFS('Project SqFt'!$R$91:$R$160,'Project SqFt'!$U$91:$U$160,"50 / 50"),SUMIFS('Project SqFt'!$C$91:$C$160,'Project SqFt'!$F$91:$F$160,"80 / High-HOME"),SUMIFS('Project SqFt'!$K$91:$K$160,'Project SqFt'!$M$91:$M$160,"80 / High-HOME"),SUMIFS('Project SqFt'!$R$91:$R$160,'Project SqFt'!$U$91:$U$160,"80 / High-HOME"),SUMIFS('Project SqFt'!$C$91:$C$160,'Project SqFt'!$F$91:$F$160,"80 / 50"),SUMIFS('Project SqFt'!$K$91:$K$160,'Project SqFt'!$M$91:$M$160,"80 / 50"),SUMIFS('Project SqFt'!$R$91:$R$160,'Project SqFt'!$U$91:$U$160,"80 / 50")))</f>
        <v/>
      </c>
    </row>
    <row r="97" spans="1:11" ht="15.75" thickBot="1" x14ac:dyDescent="0.3">
      <c r="A97" s="316"/>
      <c r="F97" s="656" t="s">
        <v>876</v>
      </c>
      <c r="G97" s="656"/>
      <c r="H97" s="656"/>
      <c r="I97" s="656"/>
      <c r="J97" s="315" t="str">
        <f>IF(OR($C$89="No",$C$89=""),"",SUM(COUNTIFS('Project SqFt'!$F$18:$F$87,"60 / 60"),COUNTIFS('Project SqFt'!$M$18:$M$87,"60 / 60"),COUNTIFS('Project SqFt'!$U$18:$U$87,"60 / 60"),COUNTIFS('Project SqFt'!$F$18:$F$87,"60 / High-HOME"),COUNTIFS('Project SqFt'!$M$18:$M$87,"60 / High-HOME"),COUNTIFS('Project SqFt'!$U$18:$U$87,"60 / High-HOME"),COUNTIFS('Project SqFt'!$F$18:$F$87,"70 / 70"),COUNTIFS('Project SqFt'!$M$18:$M$87,"70 / 70"),COUNTIFS('Project SqFt'!$U$18:$U$87,"70 / 70"),COUNTIFS('Project SqFt'!$F$18:$F$87,"80 / 80"),COUNTIFS('Project SqFt'!$M$18:$M$87,"80 / 80"),COUNTIFS('Project SqFt'!$U$18:$U$87,"80 / 80"),COUNTIFS('Project SqFt'!$F$18:$F$87,"140 / 80"),COUNTIFS('Project SqFt'!$M$18:$M$87,"140 / 80"),COUNTIFS('Project SqFt'!$U$18:$U$87,"140 / 80"),COUNTIFS('Project SqFt'!$F$91:$F$160,"60 / 60"),COUNTIFS('Project SqFt'!$M$91:$M$160,"60 / 60"),COUNTIFS('Project SqFt'!$U$91:$U$160,"60 / 60"),COUNTIFS('Project SqFt'!$F$91:$F$160,"60 / High-HOME"),COUNTIFS('Project SqFt'!$M$91:$M$160,"60 / High-HOME"),COUNTIFS('Project SqFt'!$U$91:$U$160,"60 / High-HOME"),COUNTIFS('Project SqFt'!$F$91:$F$160,"70 / 70"),COUNTIFS('Project SqFt'!$M$91:$M$160,"70 / 70"),COUNTIFS('Project SqFt'!$U$91:$U$160,"70 / 70"),COUNTIFS('Project SqFt'!$F$91:$F$160,"80 / 80"),COUNTIFS('Project SqFt'!$M$91:$M$160,"80 / 80"),COUNTIFS('Project SqFt'!$U$91:$U$160,"80 / 80"),COUNTIFS('Project SqFt'!$F$91:$F$160,"140 / 80"),COUNTIFS('Project SqFt'!$M$91:$M$160,"140 / 80"),COUNTIFS('Project SqFt'!$U$91:$U$160,"140 / 80")))</f>
        <v/>
      </c>
      <c r="K97" s="318" t="str">
        <f>IF(OR($C$89="No",$C$89=""),"",SUM(SUMIFS('Project SqFt'!$C$18:$C$87,'Project SqFt'!$F$18:$F$87,"60 / 60"),SUMIFS('Project SqFt'!$K$18:$K$87,'Project SqFt'!$M$18:$M$87,"60 / 60"),SUMIFS('Project SqFt'!$R$18:$R$87,'Project SqFt'!$U$18:$U$87,"60 / 60"),SUMIFS('Project SqFt'!$C$18:$C$87,'Project SqFt'!$F$18:$F$87,"60 / High-HOME"),SUMIFS('Project SqFt'!$K$18:$K$87,'Project SqFt'!$M$18:$M$87,"60 / High-HOME"),SUMIFS('Project SqFt'!$R$18:$R$87,'Project SqFt'!$U$18:$U$87,"60 / High-HOME"),SUMIFS('Project SqFt'!$C$18:$C$87,'Project SqFt'!$F$18:$F$87,"70 / 70"),SUMIFS('Project SqFt'!$K$18:$K$87,'Project SqFt'!$M$18:$M$87,"70 / 70"),SUMIFS('Project SqFt'!$R$18:$R$87,'Project SqFt'!$U$18:$U$87,"70 / 70"),SUMIFS('Project SqFt'!$C$18:$C$87,'Project SqFt'!$F$18:$F$87,"80 / 80"),SUMIFS('Project SqFt'!$K$18:$K$87,'Project SqFt'!$M$18:$M$87,"80 / 80"),SUMIFS('Project SqFt'!$R$18:$R$87,'Project SqFt'!$U$18:$U$87,"80 / 80"),SUMIFS('Project SqFt'!$C$18:$C$87,'Project SqFt'!$F$18:$F$87,"140 / 80"),SUMIFS('Project SqFt'!$K$18:$K$87,'Project SqFt'!$M$18:$M$87,"140 / 80"),SUMIFS('Project SqFt'!$R$18:$R$87,'Project SqFt'!$U$18:$U$87,"140 / 80"),SUMIFS('Project SqFt'!$C$91:$C$160,'Project SqFt'!$F$91:$F$160,"60 / 60"),SUMIFS('Project SqFt'!$K$91:$K$160,'Project SqFt'!$M$91:$M$160,"60 / 60"),SUMIFS('Project SqFt'!$R$91:$R$160,'Project SqFt'!$U$91:$U$160,"60 / 60"),SUMIFS('Project SqFt'!$C$91:$C$160,'Project SqFt'!$F$91:$F$160,"60 / High-HOME"),SUMIFS('Project SqFt'!$K$91:$K$160,'Project SqFt'!$M$91:$M$160,"60 / High-HOME"),SUMIFS('Project SqFt'!$R$91:$R$160,'Project SqFt'!$U$91:$U$160,"60 / High-HOME"),SUMIFS('Project SqFt'!$C$91:$C$160,'Project SqFt'!$F$91:$F$160,"70 / 70"),SUMIFS('Project SqFt'!$K$91:$K$160,'Project SqFt'!$M$91:$M$160,"70 / 70"),SUMIFS('Project SqFt'!$R$91:$R$160,'Project SqFt'!$U$91:$U$160,"70 / 70"),SUMIFS('Project SqFt'!$C$91:$C$160,'Project SqFt'!$F$91:$F$160,"80 / 80"),SUMIFS('Project SqFt'!$K$91:$K$160,'Project SqFt'!$M$91:$M$160,"80 / 80"),SUMIFS('Project SqFt'!$R$91:$R$160,'Project SqFt'!$U$91:$U$160,"80 / 80"),SUMIFS('Project SqFt'!$C$91:$C$160,'Project SqFt'!$F$91:$F$160,"140 / 80"),SUMIFS('Project SqFt'!$K$91:$K$160,'Project SqFt'!$M$91:$M$160,"140 / 80"),SUMIFS('Project SqFt'!$R$91:$R$160,'Project SqFt'!$U$91:$U$160,"140 / 80")))</f>
        <v/>
      </c>
    </row>
    <row r="98" spans="1:11" x14ac:dyDescent="0.25">
      <c r="A98" s="316"/>
      <c r="B98" s="667" t="s">
        <v>870</v>
      </c>
      <c r="C98" s="668"/>
      <c r="D98" s="669"/>
      <c r="F98" s="660" t="s">
        <v>462</v>
      </c>
      <c r="G98" s="660"/>
      <c r="H98" s="660"/>
      <c r="I98" s="660"/>
      <c r="J98" s="125" t="str">
        <f>IF(OR($C$89="No",$C$89=""),"",SUM(COUNTIFS('Project SqFt'!$F$18:$F$87,"Other Restricted"),COUNTIFS('Project SqFt'!$M$18:$M$87,"Other Restricted"),COUNTIFS('Project SqFt'!$U$18:$U$87,"Other Restricted"),COUNTIFS('Project SqFt'!$F$91:$F$160,"Other Restricted"),COUNTIFS('Project SqFt'!$M$91:$M$160,"Other Restricted"),COUNTIFS('Project SqFt'!$U$91:$U$160,"Other Restricted")))</f>
        <v/>
      </c>
      <c r="K98" s="318" t="str">
        <f>IF(OR($C$89="No",$C$89=""),"",SUM(SUMIFS('Project SqFt'!$C$18:$C$87,'Project SqFt'!$F$18:$F$87,"Other Restricted"),SUMIFS('Project SqFt'!$K$18:$K$87,'Project SqFt'!$M$18:$M$87,"Other Restricted"),SUMIFS('Project SqFt'!$R$18:$R$87,'Project SqFt'!$U$18:$U$87,"Other Restricted"),SUMIFS('Project SqFt'!$C$91:$C$160,'Project SqFt'!$F$91:$F$160,"Other Restricted"),SUMIFS('Project SqFt'!$K$91:$K$160,'Project SqFt'!$M$91:$M$160,"Other Restricted"),SUMIFS('Project SqFt'!$R$91:$R$160,'Project SqFt'!$U$91:$U$160,"Other Restricted")))</f>
        <v/>
      </c>
    </row>
    <row r="99" spans="1:11" x14ac:dyDescent="0.25">
      <c r="A99" s="316"/>
      <c r="B99" s="675" t="s">
        <v>871</v>
      </c>
      <c r="C99" s="676"/>
      <c r="D99" s="438"/>
      <c r="F99" s="660" t="s">
        <v>464</v>
      </c>
      <c r="G99" s="660"/>
      <c r="H99" s="660"/>
      <c r="I99" s="660"/>
      <c r="J99" s="194" t="str">
        <f>IF(OR($C$89="No",$C$89=""),"",SUM(COUNTIFS('Project SqFt'!$F$18:$F$87,"Unrestricted"),COUNTIFS('Project SqFt'!$M$18:$M$87,"Unrestricted"),COUNTIFS('Project SqFt'!$U$18:$U$87,"Unrestricted"),COUNTIFS('Project SqFt'!$F$91:$F$160,"Unrestricted"),COUNTIFS('Project SqFt'!$M$91:$M$160,"Unrestricted"),COUNTIFS('Project SqFt'!$U$91:$U$160,"Unrestricted")))</f>
        <v/>
      </c>
      <c r="K99" s="318" t="str">
        <f>IF(OR($C$89="No",$C$89=""),"",SUM(SUMIFS('Project SqFt'!$C$18:$C$87,'Project SqFt'!$F$18:$F$87,"Unrestricted"),SUMIFS('Project SqFt'!$K$18:$K$87,'Project SqFt'!$M$18:$M$87,"Unrestricted"),SUMIFS('Project SqFt'!$R$18:$R$87,'Project SqFt'!$U$18:$U$87,"Unrestricted"),SUMIFS('Project SqFt'!$C$91:$C$160,'Project SqFt'!$F$91:$F$160,"Unrestricted"),SUMIFS('Project SqFt'!$K$91:$K$160,'Project SqFt'!$M$91:$M$160,"Unrestricted"),SUMIFS('Project SqFt'!$R$91:$R$160,'Project SqFt'!$U$91:$U$160,"Unrestricted")))</f>
        <v/>
      </c>
    </row>
    <row r="100" spans="1:11" x14ac:dyDescent="0.25">
      <c r="A100" s="316"/>
      <c r="B100" s="675" t="s">
        <v>872</v>
      </c>
      <c r="C100" s="676"/>
      <c r="D100" s="438"/>
      <c r="F100" s="660" t="s">
        <v>489</v>
      </c>
      <c r="G100" s="660"/>
      <c r="H100" s="660"/>
      <c r="I100" s="660"/>
      <c r="J100" s="194" t="str">
        <f>IF(OR($C$89="No",$C$89=""),"",SUM(COUNTIFS('Project SqFt'!$F$18:$F$87,"Staff"),COUNTIFS('Project SqFt'!$M$18:$M$87,"Staff"),COUNTIFS('Project SqFt'!$U$18:$U$87,"Staff"),COUNTIFS('Project SqFt'!$F$91:$F$160,"Staff"),COUNTIFS('Project SqFt'!$M$91:$M$160,"Staff"),COUNTIFS('Project SqFt'!$U$91:$U$160,"Staff")))</f>
        <v/>
      </c>
      <c r="K100" s="318" t="str">
        <f>IF(OR($C$89="No",$C$89=""),"",SUM(SUMIFS('Project SqFt'!$C$18:$C$87,'Project SqFt'!$F$18:$F$87,"Staff"),SUMIFS('Project SqFt'!$K$18:$K$87,'Project SqFt'!$M$18:$M$87,"Staff"),SUMIFS('Project SqFt'!$R$18:$R$87,'Project SqFt'!$U$18:$U$87,"Staff"),SUMIFS('Project SqFt'!$C$91:$C$160,'Project SqFt'!$F$91:$F$160,"Staff"),SUMIFS('Project SqFt'!$K$91:$K$160,'Project SqFt'!$M$91:$M$160,"Staff"),SUMIFS('Project SqFt'!$R$91:$R$160,'Project SqFt'!$U$91:$U$160,"Staff")))</f>
        <v/>
      </c>
    </row>
    <row r="101" spans="1:11" ht="15.75" thickBot="1" x14ac:dyDescent="0.3">
      <c r="A101" s="316"/>
      <c r="B101" s="691" t="s">
        <v>873</v>
      </c>
      <c r="C101" s="692"/>
      <c r="D101" s="441"/>
      <c r="F101" s="660" t="s">
        <v>463</v>
      </c>
      <c r="G101" s="660"/>
      <c r="H101" s="660"/>
      <c r="I101" s="660"/>
      <c r="J101" s="317"/>
      <c r="K101" s="318" t="str">
        <f>IF(OR($C$89="No",$C$89=""),"",'Project SqFt'!$B$15)</f>
        <v/>
      </c>
    </row>
    <row r="102" spans="1:11" ht="15.75" thickBot="1" x14ac:dyDescent="0.3">
      <c r="A102" s="316"/>
      <c r="B102" s="586"/>
      <c r="C102" s="587" t="s">
        <v>44</v>
      </c>
      <c r="D102" s="161" t="str">
        <f>IF(OR($C$89="No",$C$89=""),"",SUM($D$99:$D$101))</f>
        <v/>
      </c>
      <c r="F102" s="676" t="s">
        <v>466</v>
      </c>
      <c r="G102" s="676"/>
      <c r="H102" s="676"/>
      <c r="I102" s="676"/>
      <c r="J102" s="315" t="str">
        <f>IF(OR($C$89="No",$C$89=""),"",'Project SqFt'!$G$15)</f>
        <v/>
      </c>
      <c r="K102" s="318" t="str">
        <f>IF(OR($C$89="No",$C$89=""),"",'Project SqFt'!$F$15)</f>
        <v/>
      </c>
    </row>
    <row r="103" spans="1:11" x14ac:dyDescent="0.25">
      <c r="A103" s="316"/>
      <c r="F103" s="676" t="s">
        <v>467</v>
      </c>
      <c r="G103" s="676"/>
      <c r="H103" s="676"/>
      <c r="I103" s="676"/>
      <c r="J103" s="315" t="str">
        <f>IF(OR($C$89="No",$C$89=""),"",'Project SqFt'!$L$15)</f>
        <v/>
      </c>
      <c r="K103" s="318" t="str">
        <f>IF(OR($C$89="No",$C$89=""),"",'Project SqFt'!$K$15)</f>
        <v/>
      </c>
    </row>
    <row r="104" spans="1:11" x14ac:dyDescent="0.25">
      <c r="A104" s="316"/>
      <c r="F104" s="676" t="s">
        <v>468</v>
      </c>
      <c r="G104" s="676"/>
      <c r="H104" s="676"/>
      <c r="I104" s="676"/>
      <c r="J104" s="256"/>
      <c r="K104" s="318" t="str">
        <f>IF(OR($C$89="No",$C$89=""),"",'Project SqFt'!$O$15)</f>
        <v/>
      </c>
    </row>
    <row r="105" spans="1:11" ht="15.75" x14ac:dyDescent="0.25">
      <c r="A105" s="316"/>
      <c r="F105" s="718" t="s">
        <v>469</v>
      </c>
      <c r="G105" s="719"/>
      <c r="H105" s="719"/>
      <c r="I105" s="720"/>
      <c r="J105" s="398" t="str">
        <f>IF(OR($C$89="No",$C$89=""),"",SUM($J$95:$J$99))</f>
        <v/>
      </c>
      <c r="K105" s="399" t="str">
        <f>IF(OR($C$89="No",$C$89=""),"",SUM($K$95:$K$104))</f>
        <v/>
      </c>
    </row>
    <row r="106" spans="1:11" ht="15.75" x14ac:dyDescent="0.25">
      <c r="A106" s="316"/>
      <c r="F106" s="568"/>
      <c r="G106" s="568"/>
      <c r="H106" s="568"/>
      <c r="I106" s="568"/>
      <c r="J106" s="572"/>
      <c r="K106" s="400"/>
    </row>
    <row r="107" spans="1:11" ht="15.75" x14ac:dyDescent="0.25">
      <c r="A107" s="430"/>
      <c r="B107" s="683" t="s">
        <v>720</v>
      </c>
      <c r="C107" s="683"/>
      <c r="D107" s="683"/>
      <c r="E107" s="683"/>
      <c r="F107" s="683"/>
      <c r="G107" s="683"/>
      <c r="H107" s="683"/>
      <c r="I107" s="683"/>
      <c r="J107" s="205"/>
      <c r="K107" s="560"/>
    </row>
    <row r="108" spans="1:11" x14ac:dyDescent="0.25">
      <c r="A108" s="475"/>
      <c r="B108" s="665" t="s">
        <v>715</v>
      </c>
      <c r="C108" s="665"/>
      <c r="D108" s="684"/>
      <c r="E108" s="684"/>
      <c r="F108" s="121" t="str">
        <f>IF(OR($C$89="No",$C$89=""),"",IFERROR($D$108/$J$105,""))</f>
        <v/>
      </c>
      <c r="G108" s="664" t="s">
        <v>1078</v>
      </c>
      <c r="H108" s="665"/>
      <c r="I108" s="666"/>
      <c r="J108" s="89"/>
      <c r="K108" s="132" t="str">
        <f>IF(OR($C$89="No",$C$89=""),"",IFERROR($J$108/$J$105,""))</f>
        <v/>
      </c>
    </row>
    <row r="109" spans="1:11" ht="15.75" thickBot="1" x14ac:dyDescent="0.3">
      <c r="A109" s="124"/>
      <c r="B109" s="401" t="s">
        <v>716</v>
      </c>
      <c r="C109" s="440"/>
      <c r="D109" s="687"/>
      <c r="E109" s="687"/>
      <c r="F109" s="402" t="str">
        <f>IF(OR($C$89="No",$C$89=""),"",IFERROR($D$109/$J$105,""))</f>
        <v/>
      </c>
      <c r="G109" s="226"/>
      <c r="H109" s="401"/>
      <c r="I109" s="401" t="s">
        <v>717</v>
      </c>
      <c r="J109" s="477"/>
      <c r="K109" s="403" t="str">
        <f>IF(OR($C$89="No",$C$89=""),"",IFERROR($J$109/$J$105,""))</f>
        <v/>
      </c>
    </row>
    <row r="110" spans="1:11" ht="9.9499999999999993" customHeight="1" x14ac:dyDescent="0.25"/>
    <row r="129" spans="1:54" ht="15.75" thickBot="1" x14ac:dyDescent="0.3"/>
    <row r="130" spans="1:54" ht="15.75" thickBot="1" x14ac:dyDescent="0.3">
      <c r="M130" s="331" t="s">
        <v>18</v>
      </c>
      <c r="N130" s="341" t="s">
        <v>79</v>
      </c>
      <c r="O130" s="342" t="s">
        <v>80</v>
      </c>
      <c r="P130" s="333" t="s">
        <v>17</v>
      </c>
      <c r="Q130" s="341" t="s">
        <v>20</v>
      </c>
      <c r="R130" s="341" t="s">
        <v>473</v>
      </c>
      <c r="S130" s="342" t="s">
        <v>658</v>
      </c>
      <c r="T130" s="667" t="s">
        <v>608</v>
      </c>
      <c r="U130" s="668"/>
      <c r="V130" s="668"/>
      <c r="W130" s="668"/>
      <c r="X130" s="668"/>
      <c r="Y130" s="669"/>
      <c r="Z130" s="685" t="s">
        <v>232</v>
      </c>
      <c r="AA130" s="686"/>
      <c r="AB130" s="686"/>
      <c r="AC130" s="686"/>
      <c r="AD130" s="686"/>
      <c r="AE130" s="686"/>
      <c r="AF130" s="686"/>
      <c r="AG130" s="686"/>
      <c r="AH130" s="681" t="str">
        <f>IF('Project Summary'!$C$19="Yes","LIHTC_","")&amp; IF('Project Summary'!$C$44="Yes","HTF_","")&amp; IF('Project Summary'!$C$66="Yes","HOME_","")&amp; IF('Project Summary'!$C$89="Yes","HIF_","")</f>
        <v/>
      </c>
      <c r="AI130" s="681"/>
      <c r="AJ130" s="681"/>
      <c r="AK130" s="681"/>
      <c r="AL130" s="681"/>
      <c r="AM130" s="681"/>
      <c r="AN130" s="682"/>
      <c r="BB130" s="322"/>
    </row>
    <row r="131" spans="1:54" ht="15.75" thickBot="1" x14ac:dyDescent="0.3">
      <c r="M131" s="332" t="s">
        <v>19</v>
      </c>
      <c r="N131" s="320" t="s">
        <v>81</v>
      </c>
      <c r="O131" s="152">
        <v>8</v>
      </c>
      <c r="P131" s="334">
        <v>1</v>
      </c>
      <c r="Q131" s="320" t="s">
        <v>21</v>
      </c>
      <c r="R131" s="151" t="s">
        <v>57</v>
      </c>
      <c r="S131" s="152">
        <v>1</v>
      </c>
      <c r="T131" s="346" t="s">
        <v>544</v>
      </c>
      <c r="U131" s="319" t="s">
        <v>611</v>
      </c>
      <c r="V131" s="319" t="s">
        <v>615</v>
      </c>
      <c r="W131" s="319" t="s">
        <v>612</v>
      </c>
      <c r="X131" s="319" t="s">
        <v>613</v>
      </c>
      <c r="Y131" s="347" t="s">
        <v>614</v>
      </c>
      <c r="Z131" s="667" t="s">
        <v>222</v>
      </c>
      <c r="AA131" s="668"/>
      <c r="AB131" s="668"/>
      <c r="AC131" s="668"/>
      <c r="AD131" s="668"/>
      <c r="AE131" s="668"/>
      <c r="AF131" s="668"/>
      <c r="AG131" s="668"/>
      <c r="AH131" s="668"/>
      <c r="AI131" s="668"/>
      <c r="AJ131" s="668"/>
      <c r="AK131" s="668"/>
      <c r="AL131" s="668"/>
      <c r="AM131" s="668"/>
      <c r="AN131" s="669"/>
      <c r="AT131" s="319"/>
      <c r="BB131" s="319"/>
    </row>
    <row r="132" spans="1:54" s="319" customFormat="1" x14ac:dyDescent="0.25">
      <c r="A132"/>
      <c r="B132"/>
      <c r="C132"/>
      <c r="D132"/>
      <c r="E132"/>
      <c r="F132"/>
      <c r="G132"/>
      <c r="H132"/>
      <c r="I132"/>
      <c r="J132"/>
      <c r="K132"/>
      <c r="M132" s="331" t="s">
        <v>699</v>
      </c>
      <c r="N132" s="320" t="s">
        <v>82</v>
      </c>
      <c r="O132" s="152">
        <v>6</v>
      </c>
      <c r="P132" s="334">
        <v>2</v>
      </c>
      <c r="Q132" s="320" t="s">
        <v>31</v>
      </c>
      <c r="R132" s="151">
        <v>1</v>
      </c>
      <c r="S132" s="152">
        <v>1</v>
      </c>
      <c r="T132" s="350" t="s">
        <v>600</v>
      </c>
      <c r="U132" s="344" t="s">
        <v>601</v>
      </c>
      <c r="V132" s="348" t="s">
        <v>652</v>
      </c>
      <c r="W132" s="349" t="s">
        <v>653</v>
      </c>
      <c r="X132" s="349" t="s">
        <v>15</v>
      </c>
      <c r="Y132" s="152">
        <v>58072</v>
      </c>
      <c r="Z132" s="404" t="s">
        <v>233</v>
      </c>
      <c r="AA132" s="237" t="s">
        <v>234</v>
      </c>
      <c r="AB132" s="237" t="s">
        <v>729</v>
      </c>
      <c r="AC132" s="237" t="s">
        <v>235</v>
      </c>
      <c r="AD132" s="237" t="s">
        <v>677</v>
      </c>
      <c r="AE132" s="237" t="s">
        <v>737</v>
      </c>
      <c r="AF132" s="237" t="s">
        <v>678</v>
      </c>
      <c r="AG132" s="237" t="s">
        <v>739</v>
      </c>
      <c r="AH132" s="237" t="s">
        <v>679</v>
      </c>
      <c r="AI132" s="237" t="s">
        <v>740</v>
      </c>
      <c r="AJ132" s="237" t="s">
        <v>734</v>
      </c>
      <c r="AK132" s="237" t="s">
        <v>676</v>
      </c>
      <c r="AL132" s="237" t="s">
        <v>742</v>
      </c>
      <c r="AM132" s="237" t="s">
        <v>741</v>
      </c>
      <c r="AN132" s="405" t="s">
        <v>738</v>
      </c>
      <c r="AT132"/>
      <c r="BB132"/>
    </row>
    <row r="133" spans="1:54" ht="15.75" thickBot="1" x14ac:dyDescent="0.3">
      <c r="M133" s="332" t="s">
        <v>700</v>
      </c>
      <c r="N133" s="320" t="s">
        <v>83</v>
      </c>
      <c r="O133" s="152">
        <v>3</v>
      </c>
      <c r="P133" s="334">
        <v>3</v>
      </c>
      <c r="Q133" s="323" t="s">
        <v>22</v>
      </c>
      <c r="R133" s="151">
        <v>2</v>
      </c>
      <c r="S133" s="152">
        <v>2</v>
      </c>
      <c r="T133" s="350" t="s">
        <v>586</v>
      </c>
      <c r="U133" s="344" t="s">
        <v>587</v>
      </c>
      <c r="V133" s="348" t="s">
        <v>644</v>
      </c>
      <c r="W133" s="349" t="s">
        <v>645</v>
      </c>
      <c r="X133" s="349" t="s">
        <v>15</v>
      </c>
      <c r="Y133" s="152">
        <v>58351</v>
      </c>
      <c r="Z133" s="151" t="s">
        <v>223</v>
      </c>
      <c r="AA133" s="147" t="s">
        <v>224</v>
      </c>
      <c r="AB133" s="147" t="s">
        <v>730</v>
      </c>
      <c r="AC133" s="147" t="s">
        <v>224</v>
      </c>
      <c r="AD133" s="147" t="s">
        <v>223</v>
      </c>
      <c r="AE133" s="147" t="s">
        <v>223</v>
      </c>
      <c r="AF133" s="147" t="s">
        <v>223</v>
      </c>
      <c r="AG133" s="147" t="s">
        <v>224</v>
      </c>
      <c r="AH133" s="147" t="s">
        <v>224</v>
      </c>
      <c r="AI133" s="147" t="s">
        <v>224</v>
      </c>
      <c r="AJ133" s="147" t="s">
        <v>223</v>
      </c>
      <c r="AK133" s="147" t="s">
        <v>223</v>
      </c>
      <c r="AL133" s="147" t="s">
        <v>223</v>
      </c>
      <c r="AM133" s="147" t="s">
        <v>224</v>
      </c>
      <c r="AN133" s="152" t="s">
        <v>223</v>
      </c>
    </row>
    <row r="134" spans="1:54" x14ac:dyDescent="0.25">
      <c r="M134" s="331" t="s">
        <v>709</v>
      </c>
      <c r="N134" s="320" t="s">
        <v>84</v>
      </c>
      <c r="O134" s="152">
        <v>8</v>
      </c>
      <c r="P134" s="334">
        <v>4</v>
      </c>
      <c r="Q134" s="341" t="s">
        <v>762</v>
      </c>
      <c r="R134" s="151">
        <v>3</v>
      </c>
      <c r="S134" s="152">
        <v>3</v>
      </c>
      <c r="T134" s="350" t="s">
        <v>548</v>
      </c>
      <c r="U134" s="344" t="s">
        <v>553</v>
      </c>
      <c r="V134" s="348" t="s">
        <v>618</v>
      </c>
      <c r="W134" s="349" t="s">
        <v>617</v>
      </c>
      <c r="X134" s="349" t="s">
        <v>15</v>
      </c>
      <c r="Y134" s="152">
        <v>58504</v>
      </c>
      <c r="Z134" s="151" t="s">
        <v>224</v>
      </c>
      <c r="AA134" s="147" t="s">
        <v>220</v>
      </c>
      <c r="AB134" s="147" t="s">
        <v>874</v>
      </c>
      <c r="AC134" s="147" t="s">
        <v>230</v>
      </c>
      <c r="AD134" s="147" t="s">
        <v>224</v>
      </c>
      <c r="AE134" s="147" t="s">
        <v>224</v>
      </c>
      <c r="AF134" s="147" t="s">
        <v>224</v>
      </c>
      <c r="AG134" s="147" t="s">
        <v>730</v>
      </c>
      <c r="AH134" s="147" t="s">
        <v>230</v>
      </c>
      <c r="AI134" s="147" t="s">
        <v>730</v>
      </c>
      <c r="AJ134" s="147" t="s">
        <v>224</v>
      </c>
      <c r="AK134" s="147" t="s">
        <v>224</v>
      </c>
      <c r="AL134" s="147" t="s">
        <v>224</v>
      </c>
      <c r="AM134" s="147" t="s">
        <v>730</v>
      </c>
      <c r="AN134" s="152" t="s">
        <v>224</v>
      </c>
    </row>
    <row r="135" spans="1:54" ht="15.75" thickBot="1" x14ac:dyDescent="0.3">
      <c r="A135" s="319"/>
      <c r="B135" s="319"/>
      <c r="C135" s="319"/>
      <c r="D135" s="319"/>
      <c r="E135" s="319"/>
      <c r="F135" s="319"/>
      <c r="G135" s="319"/>
      <c r="H135" s="319"/>
      <c r="I135" s="319"/>
      <c r="J135" s="319"/>
      <c r="K135" s="319"/>
      <c r="M135" s="332" t="s">
        <v>710</v>
      </c>
      <c r="N135" s="320" t="s">
        <v>85</v>
      </c>
      <c r="O135" s="152">
        <v>2</v>
      </c>
      <c r="P135" s="334">
        <v>5</v>
      </c>
      <c r="Q135" s="335" t="s">
        <v>21</v>
      </c>
      <c r="R135" s="159">
        <v>4</v>
      </c>
      <c r="S135" s="161">
        <v>4</v>
      </c>
      <c r="T135" s="350" t="s">
        <v>566</v>
      </c>
      <c r="U135" s="344" t="s">
        <v>567</v>
      </c>
      <c r="V135" s="348" t="s">
        <v>626</v>
      </c>
      <c r="W135" s="349" t="s">
        <v>627</v>
      </c>
      <c r="X135" s="349" t="s">
        <v>15</v>
      </c>
      <c r="Y135" s="152">
        <v>58436</v>
      </c>
      <c r="Z135" s="151" t="s">
        <v>225</v>
      </c>
      <c r="AA135" s="147" t="s">
        <v>219</v>
      </c>
      <c r="AB135" s="147" t="s">
        <v>1057</v>
      </c>
      <c r="AC135" s="147" t="s">
        <v>231</v>
      </c>
      <c r="AD135" s="147" t="s">
        <v>225</v>
      </c>
      <c r="AE135" s="147" t="s">
        <v>1085</v>
      </c>
      <c r="AF135" s="147" t="s">
        <v>225</v>
      </c>
      <c r="AG135" s="147" t="s">
        <v>874</v>
      </c>
      <c r="AH135" s="147" t="s">
        <v>231</v>
      </c>
      <c r="AI135" s="147" t="s">
        <v>874</v>
      </c>
      <c r="AJ135" s="147" t="s">
        <v>1085</v>
      </c>
      <c r="AK135" s="147" t="s">
        <v>225</v>
      </c>
      <c r="AL135" s="147" t="s">
        <v>1085</v>
      </c>
      <c r="AM135" s="147" t="s">
        <v>874</v>
      </c>
      <c r="AN135" s="152" t="s">
        <v>1085</v>
      </c>
    </row>
    <row r="136" spans="1:54" x14ac:dyDescent="0.25">
      <c r="M136" s="331" t="s">
        <v>711</v>
      </c>
      <c r="N136" s="320" t="s">
        <v>86</v>
      </c>
      <c r="O136" s="152">
        <v>8</v>
      </c>
      <c r="P136" s="334">
        <v>6</v>
      </c>
      <c r="Q136" s="335" t="s">
        <v>31</v>
      </c>
      <c r="R136" s="668" t="s">
        <v>1102</v>
      </c>
      <c r="S136" s="669"/>
      <c r="T136" s="350" t="s">
        <v>564</v>
      </c>
      <c r="U136" s="344" t="s">
        <v>565</v>
      </c>
      <c r="V136" s="348" t="s">
        <v>624</v>
      </c>
      <c r="W136" s="349" t="s">
        <v>625</v>
      </c>
      <c r="X136" s="349" t="s">
        <v>15</v>
      </c>
      <c r="Y136" s="152">
        <v>58602</v>
      </c>
      <c r="Z136" s="151" t="s">
        <v>226</v>
      </c>
      <c r="AA136" s="147" t="s">
        <v>474</v>
      </c>
      <c r="AB136" s="147" t="s">
        <v>219</v>
      </c>
      <c r="AC136" s="147" t="s">
        <v>220</v>
      </c>
      <c r="AD136" s="147" t="s">
        <v>226</v>
      </c>
      <c r="AE136" s="147" t="s">
        <v>225</v>
      </c>
      <c r="AF136" s="147" t="s">
        <v>226</v>
      </c>
      <c r="AG136" s="147" t="s">
        <v>220</v>
      </c>
      <c r="AH136" s="147" t="s">
        <v>220</v>
      </c>
      <c r="AI136" s="147" t="s">
        <v>230</v>
      </c>
      <c r="AJ136" s="147" t="s">
        <v>225</v>
      </c>
      <c r="AK136" s="147" t="s">
        <v>226</v>
      </c>
      <c r="AL136" s="147" t="s">
        <v>225</v>
      </c>
      <c r="AM136" s="147" t="s">
        <v>230</v>
      </c>
      <c r="AN136" s="152" t="s">
        <v>225</v>
      </c>
    </row>
    <row r="137" spans="1:54" ht="15.75" thickBot="1" x14ac:dyDescent="0.3">
      <c r="M137" s="332" t="s">
        <v>721</v>
      </c>
      <c r="N137" s="320" t="s">
        <v>87</v>
      </c>
      <c r="O137" s="152">
        <v>2</v>
      </c>
      <c r="P137" s="334">
        <v>7</v>
      </c>
      <c r="Q137" s="335" t="s">
        <v>32</v>
      </c>
      <c r="R137" s="147" t="s">
        <v>748</v>
      </c>
      <c r="S137" s="406" t="s">
        <v>747</v>
      </c>
      <c r="T137" s="350" t="s">
        <v>594</v>
      </c>
      <c r="U137" s="344" t="s">
        <v>595</v>
      </c>
      <c r="V137" s="348" t="s">
        <v>647</v>
      </c>
      <c r="W137" s="349" t="s">
        <v>648</v>
      </c>
      <c r="X137" s="349" t="s">
        <v>15</v>
      </c>
      <c r="Y137" s="152">
        <v>58356</v>
      </c>
      <c r="Z137" s="151" t="s">
        <v>227</v>
      </c>
      <c r="AA137" s="147"/>
      <c r="AB137" s="147" t="s">
        <v>474</v>
      </c>
      <c r="AC137" s="147" t="s">
        <v>219</v>
      </c>
      <c r="AD137" s="147" t="s">
        <v>227</v>
      </c>
      <c r="AE137" s="147" t="s">
        <v>730</v>
      </c>
      <c r="AF137" s="147" t="s">
        <v>227</v>
      </c>
      <c r="AG137" s="147" t="s">
        <v>219</v>
      </c>
      <c r="AH137" s="147" t="s">
        <v>219</v>
      </c>
      <c r="AI137" s="147" t="s">
        <v>231</v>
      </c>
      <c r="AJ137" s="147" t="s">
        <v>730</v>
      </c>
      <c r="AK137" s="147" t="s">
        <v>227</v>
      </c>
      <c r="AL137" s="147" t="s">
        <v>730</v>
      </c>
      <c r="AM137" s="147" t="s">
        <v>231</v>
      </c>
      <c r="AN137" s="152" t="s">
        <v>730</v>
      </c>
    </row>
    <row r="138" spans="1:54" x14ac:dyDescent="0.25">
      <c r="M138" s="331" t="s">
        <v>712</v>
      </c>
      <c r="N138" s="320" t="s">
        <v>88</v>
      </c>
      <c r="O138" s="152">
        <v>7</v>
      </c>
      <c r="P138" s="334">
        <v>8</v>
      </c>
      <c r="Q138" s="335" t="s">
        <v>33</v>
      </c>
      <c r="R138" s="514">
        <v>25000</v>
      </c>
      <c r="S138" s="411">
        <v>5</v>
      </c>
      <c r="T138" s="350" t="s">
        <v>580</v>
      </c>
      <c r="U138" s="344" t="s">
        <v>581</v>
      </c>
      <c r="V138" s="348" t="s">
        <v>640</v>
      </c>
      <c r="W138" s="349" t="s">
        <v>641</v>
      </c>
      <c r="X138" s="349" t="s">
        <v>15</v>
      </c>
      <c r="Y138" s="152">
        <v>58552</v>
      </c>
      <c r="Z138" s="151" t="s">
        <v>228</v>
      </c>
      <c r="AA138" s="147"/>
      <c r="AC138" s="147" t="s">
        <v>474</v>
      </c>
      <c r="AD138" s="147" t="s">
        <v>228</v>
      </c>
      <c r="AE138" s="147" t="s">
        <v>226</v>
      </c>
      <c r="AF138" s="147" t="s">
        <v>228</v>
      </c>
      <c r="AG138" s="147" t="s">
        <v>474</v>
      </c>
      <c r="AH138" s="147" t="s">
        <v>474</v>
      </c>
      <c r="AI138" s="147" t="s">
        <v>220</v>
      </c>
      <c r="AJ138" s="147" t="s">
        <v>226</v>
      </c>
      <c r="AK138" s="147" t="s">
        <v>228</v>
      </c>
      <c r="AL138" s="147" t="s">
        <v>226</v>
      </c>
      <c r="AM138" s="147" t="s">
        <v>220</v>
      </c>
      <c r="AN138" s="152" t="s">
        <v>226</v>
      </c>
    </row>
    <row r="139" spans="1:54" x14ac:dyDescent="0.25">
      <c r="M139" s="334" t="s">
        <v>713</v>
      </c>
      <c r="N139" s="320" t="s">
        <v>89</v>
      </c>
      <c r="O139" s="152">
        <v>5</v>
      </c>
      <c r="P139" s="334">
        <v>9</v>
      </c>
      <c r="Q139" s="335" t="s">
        <v>34</v>
      </c>
      <c r="R139" s="147">
        <v>50000</v>
      </c>
      <c r="S139" s="407">
        <v>10</v>
      </c>
      <c r="T139" s="350" t="s">
        <v>568</v>
      </c>
      <c r="U139" s="344" t="s">
        <v>569</v>
      </c>
      <c r="V139" s="348" t="s">
        <v>628</v>
      </c>
      <c r="W139" s="349" t="s">
        <v>629</v>
      </c>
      <c r="X139" s="349" t="s">
        <v>15</v>
      </c>
      <c r="Y139" s="152">
        <v>58102</v>
      </c>
      <c r="Z139" s="151" t="s">
        <v>229</v>
      </c>
      <c r="AA139" s="147"/>
      <c r="AC139" s="147"/>
      <c r="AD139" s="147" t="s">
        <v>229</v>
      </c>
      <c r="AE139" s="147" t="s">
        <v>731</v>
      </c>
      <c r="AF139" s="147" t="s">
        <v>230</v>
      </c>
      <c r="AH139" s="147"/>
      <c r="AI139" s="147" t="s">
        <v>219</v>
      </c>
      <c r="AJ139" s="147" t="s">
        <v>731</v>
      </c>
      <c r="AK139" s="147" t="s">
        <v>230</v>
      </c>
      <c r="AL139" s="147" t="s">
        <v>731</v>
      </c>
      <c r="AM139" s="147" t="s">
        <v>219</v>
      </c>
      <c r="AN139" s="152" t="s">
        <v>731</v>
      </c>
    </row>
    <row r="140" spans="1:54" ht="15.75" thickBot="1" x14ac:dyDescent="0.3">
      <c r="M140" s="332" t="s">
        <v>1025</v>
      </c>
      <c r="N140" s="320" t="s">
        <v>90</v>
      </c>
      <c r="O140" s="152">
        <v>3</v>
      </c>
      <c r="P140" s="334">
        <v>10</v>
      </c>
      <c r="Q140" s="335" t="s">
        <v>35</v>
      </c>
      <c r="R140" s="419">
        <v>50000</v>
      </c>
      <c r="S140" s="412">
        <v>15</v>
      </c>
      <c r="T140" s="350" t="s">
        <v>572</v>
      </c>
      <c r="U140" s="344" t="s">
        <v>573</v>
      </c>
      <c r="V140" s="348" t="s">
        <v>633</v>
      </c>
      <c r="W140" s="349" t="s">
        <v>98</v>
      </c>
      <c r="X140" s="349" t="s">
        <v>15</v>
      </c>
      <c r="Y140" s="152">
        <v>58203</v>
      </c>
      <c r="Z140" s="151" t="s">
        <v>220</v>
      </c>
      <c r="AA140" s="147"/>
      <c r="AC140" s="147"/>
      <c r="AD140" s="147" t="s">
        <v>220</v>
      </c>
      <c r="AE140" s="147" t="s">
        <v>227</v>
      </c>
      <c r="AF140" s="147" t="s">
        <v>229</v>
      </c>
      <c r="AH140" s="147"/>
      <c r="AI140" s="147" t="s">
        <v>474</v>
      </c>
      <c r="AJ140" s="147" t="s">
        <v>227</v>
      </c>
      <c r="AK140" s="147" t="s">
        <v>229</v>
      </c>
      <c r="AL140" s="147" t="s">
        <v>227</v>
      </c>
      <c r="AM140" s="147" t="s">
        <v>474</v>
      </c>
      <c r="AN140" s="152" t="s">
        <v>227</v>
      </c>
    </row>
    <row r="141" spans="1:54" ht="15.75" thickBot="1" x14ac:dyDescent="0.3">
      <c r="M141" s="331" t="s">
        <v>979</v>
      </c>
      <c r="N141" s="320" t="s">
        <v>91</v>
      </c>
      <c r="O141" s="152">
        <v>6</v>
      </c>
      <c r="P141" s="334">
        <v>11</v>
      </c>
      <c r="Q141" s="336" t="s">
        <v>36</v>
      </c>
      <c r="R141" s="160" t="s">
        <v>21</v>
      </c>
      <c r="S141" s="408">
        <v>20</v>
      </c>
      <c r="T141" s="350" t="s">
        <v>576</v>
      </c>
      <c r="U141" s="344" t="s">
        <v>577</v>
      </c>
      <c r="V141" s="348" t="s">
        <v>636</v>
      </c>
      <c r="W141" s="349" t="s">
        <v>637</v>
      </c>
      <c r="X141" s="349" t="s">
        <v>15</v>
      </c>
      <c r="Y141" s="152">
        <v>58401</v>
      </c>
      <c r="Z141" s="151" t="s">
        <v>665</v>
      </c>
      <c r="AA141" s="147"/>
      <c r="AC141" s="147"/>
      <c r="AD141" s="147" t="s">
        <v>665</v>
      </c>
      <c r="AE141" s="147" t="s">
        <v>875</v>
      </c>
      <c r="AF141" s="147" t="s">
        <v>231</v>
      </c>
      <c r="AH141" s="147"/>
      <c r="AJ141" s="147" t="s">
        <v>875</v>
      </c>
      <c r="AK141" s="147" t="s">
        <v>231</v>
      </c>
      <c r="AL141" s="147" t="s">
        <v>875</v>
      </c>
      <c r="AN141" s="152" t="s">
        <v>875</v>
      </c>
    </row>
    <row r="142" spans="1:54" ht="15.75" thickBot="1" x14ac:dyDescent="0.3">
      <c r="M142" s="332" t="s">
        <v>978</v>
      </c>
      <c r="N142" s="320" t="s">
        <v>92</v>
      </c>
      <c r="O142" s="152">
        <v>1</v>
      </c>
      <c r="P142" s="334">
        <v>12</v>
      </c>
      <c r="Q142" s="333" t="s">
        <v>727</v>
      </c>
      <c r="R142" s="667" t="s">
        <v>1105</v>
      </c>
      <c r="S142" s="669"/>
      <c r="T142" s="350" t="s">
        <v>604</v>
      </c>
      <c r="U142" s="344" t="s">
        <v>605</v>
      </c>
      <c r="V142" s="348" t="s">
        <v>654</v>
      </c>
      <c r="W142" s="349" t="s">
        <v>655</v>
      </c>
      <c r="X142" s="349" t="s">
        <v>15</v>
      </c>
      <c r="Y142" s="152">
        <v>58078</v>
      </c>
      <c r="Z142" s="151" t="s">
        <v>474</v>
      </c>
      <c r="AA142" s="147"/>
      <c r="AB142" s="147"/>
      <c r="AC142" s="147"/>
      <c r="AD142" s="147" t="s">
        <v>474</v>
      </c>
      <c r="AE142" s="147" t="s">
        <v>228</v>
      </c>
      <c r="AF142" s="147" t="s">
        <v>220</v>
      </c>
      <c r="AH142" s="147"/>
      <c r="AJ142" s="147" t="s">
        <v>228</v>
      </c>
      <c r="AK142" s="147" t="s">
        <v>220</v>
      </c>
      <c r="AL142" s="147" t="s">
        <v>228</v>
      </c>
      <c r="AN142" s="152" t="s">
        <v>228</v>
      </c>
    </row>
    <row r="143" spans="1:54" x14ac:dyDescent="0.25">
      <c r="M143" s="331" t="s">
        <v>718</v>
      </c>
      <c r="N143" s="320" t="s">
        <v>93</v>
      </c>
      <c r="O143" s="152">
        <v>8</v>
      </c>
      <c r="P143" s="334">
        <v>13</v>
      </c>
      <c r="Q143" s="335" t="s">
        <v>31</v>
      </c>
      <c r="R143" s="672">
        <v>30</v>
      </c>
      <c r="S143" s="673"/>
      <c r="T143" s="410" t="s">
        <v>588</v>
      </c>
      <c r="U143" s="344" t="s">
        <v>589</v>
      </c>
      <c r="V143" s="348" t="s">
        <v>646</v>
      </c>
      <c r="W143" s="349" t="s">
        <v>630</v>
      </c>
      <c r="X143" s="349" t="s">
        <v>15</v>
      </c>
      <c r="Y143" s="152">
        <v>58701</v>
      </c>
      <c r="Z143" s="151"/>
      <c r="AA143" s="147"/>
      <c r="AB143" s="147"/>
      <c r="AC143" s="147"/>
      <c r="AD143" s="147"/>
      <c r="AE143" s="147" t="s">
        <v>874</v>
      </c>
      <c r="AF143" s="147" t="s">
        <v>665</v>
      </c>
      <c r="AG143" s="147"/>
      <c r="AH143" s="147"/>
      <c r="AJ143" s="147" t="s">
        <v>874</v>
      </c>
      <c r="AK143" s="147" t="s">
        <v>665</v>
      </c>
      <c r="AL143" s="147" t="s">
        <v>874</v>
      </c>
      <c r="AN143" s="152" t="s">
        <v>874</v>
      </c>
    </row>
    <row r="144" spans="1:54" ht="15.75" thickBot="1" x14ac:dyDescent="0.3">
      <c r="M144" s="332" t="s">
        <v>719</v>
      </c>
      <c r="N144" s="320" t="s">
        <v>94</v>
      </c>
      <c r="O144" s="152">
        <v>3</v>
      </c>
      <c r="P144" s="334">
        <v>14</v>
      </c>
      <c r="Q144" s="335" t="s">
        <v>21</v>
      </c>
      <c r="R144" s="670">
        <v>31</v>
      </c>
      <c r="S144" s="671"/>
      <c r="T144" s="410" t="s">
        <v>606</v>
      </c>
      <c r="U144" s="344" t="s">
        <v>607</v>
      </c>
      <c r="V144" s="348" t="s">
        <v>656</v>
      </c>
      <c r="W144" s="349" t="s">
        <v>657</v>
      </c>
      <c r="X144" s="349" t="s">
        <v>15</v>
      </c>
      <c r="Y144" s="152">
        <v>58801</v>
      </c>
      <c r="Z144" s="151"/>
      <c r="AA144" s="147"/>
      <c r="AB144" s="147"/>
      <c r="AC144" s="147"/>
      <c r="AD144" s="147"/>
      <c r="AE144" s="147" t="s">
        <v>229</v>
      </c>
      <c r="AF144" s="147" t="s">
        <v>474</v>
      </c>
      <c r="AG144" s="147"/>
      <c r="AH144" s="147"/>
      <c r="AJ144" s="147" t="s">
        <v>229</v>
      </c>
      <c r="AK144" s="147" t="s">
        <v>474</v>
      </c>
      <c r="AL144" s="147" t="s">
        <v>230</v>
      </c>
      <c r="AN144" s="152" t="s">
        <v>230</v>
      </c>
    </row>
    <row r="145" spans="13:40" x14ac:dyDescent="0.25">
      <c r="M145" s="333" t="s">
        <v>1086</v>
      </c>
      <c r="N145" s="320" t="s">
        <v>95</v>
      </c>
      <c r="O145" s="152">
        <v>7</v>
      </c>
      <c r="P145" s="334">
        <v>15</v>
      </c>
      <c r="Q145" s="335" t="s">
        <v>376</v>
      </c>
      <c r="R145" s="667" t="s">
        <v>1115</v>
      </c>
      <c r="S145" s="669"/>
      <c r="T145" s="409" t="s">
        <v>545</v>
      </c>
      <c r="U145" s="343" t="s">
        <v>549</v>
      </c>
      <c r="V145" s="348" t="s">
        <v>609</v>
      </c>
      <c r="W145" s="349" t="s">
        <v>610</v>
      </c>
      <c r="X145" s="349" t="s">
        <v>15</v>
      </c>
      <c r="Y145" s="152">
        <v>58413</v>
      </c>
      <c r="Z145" s="151"/>
      <c r="AA145" s="147"/>
      <c r="AB145" s="147"/>
      <c r="AC145" s="147"/>
      <c r="AD145" s="147"/>
      <c r="AE145" s="147" t="s">
        <v>220</v>
      </c>
      <c r="AF145" s="147"/>
      <c r="AG145" s="147"/>
      <c r="AH145" s="147"/>
      <c r="AI145" s="147"/>
      <c r="AJ145" s="147" t="s">
        <v>220</v>
      </c>
      <c r="AK145" s="147"/>
      <c r="AL145" s="147" t="s">
        <v>229</v>
      </c>
      <c r="AM145" s="147"/>
      <c r="AN145" s="152" t="s">
        <v>229</v>
      </c>
    </row>
    <row r="146" spans="13:40" ht="15.75" thickBot="1" x14ac:dyDescent="0.3">
      <c r="M146" s="332" t="str">
        <f>IF($C$19=$M$130,"ND","MF")</f>
        <v>MF</v>
      </c>
      <c r="N146" s="320" t="s">
        <v>96</v>
      </c>
      <c r="O146" s="152">
        <v>6</v>
      </c>
      <c r="P146" s="334">
        <v>16</v>
      </c>
      <c r="Q146" s="335" t="s">
        <v>881</v>
      </c>
      <c r="R146" s="358">
        <v>0.09</v>
      </c>
      <c r="S146" s="635">
        <v>0.15</v>
      </c>
      <c r="T146" s="410" t="s">
        <v>546</v>
      </c>
      <c r="U146" s="344" t="s">
        <v>550</v>
      </c>
      <c r="V146" s="348" t="s">
        <v>609</v>
      </c>
      <c r="W146" s="349" t="s">
        <v>610</v>
      </c>
      <c r="X146" s="349" t="s">
        <v>15</v>
      </c>
      <c r="Y146" s="152">
        <v>58413</v>
      </c>
      <c r="Z146" s="151"/>
      <c r="AA146" s="147"/>
      <c r="AB146" s="147"/>
      <c r="AC146" s="147"/>
      <c r="AD146" s="147"/>
      <c r="AE146" s="147" t="s">
        <v>665</v>
      </c>
      <c r="AF146" s="147"/>
      <c r="AG146" s="147"/>
      <c r="AH146" s="147"/>
      <c r="AI146" s="147"/>
      <c r="AJ146" s="147" t="s">
        <v>665</v>
      </c>
      <c r="AK146" s="147"/>
      <c r="AL146" s="147" t="s">
        <v>220</v>
      </c>
      <c r="AM146" s="147"/>
      <c r="AN146" s="152" t="s">
        <v>231</v>
      </c>
    </row>
    <row r="147" spans="13:40" ht="15.75" thickBot="1" x14ac:dyDescent="0.3">
      <c r="M147" s="1227" t="s">
        <v>1123</v>
      </c>
      <c r="N147" s="320" t="s">
        <v>97</v>
      </c>
      <c r="O147" s="152">
        <v>8</v>
      </c>
      <c r="P147" s="334">
        <v>17</v>
      </c>
      <c r="Q147" s="336" t="s">
        <v>980</v>
      </c>
      <c r="R147" s="358" t="s">
        <v>1116</v>
      </c>
      <c r="S147" s="635">
        <v>0.2</v>
      </c>
      <c r="T147" s="410" t="s">
        <v>590</v>
      </c>
      <c r="U147" s="344" t="s">
        <v>591</v>
      </c>
      <c r="V147" s="348" t="s">
        <v>646</v>
      </c>
      <c r="W147" s="349" t="s">
        <v>630</v>
      </c>
      <c r="X147" s="349" t="s">
        <v>15</v>
      </c>
      <c r="Y147" s="147">
        <v>58701</v>
      </c>
      <c r="Z147" s="151"/>
      <c r="AA147" s="147"/>
      <c r="AB147" s="147"/>
      <c r="AC147" s="147"/>
      <c r="AD147" s="147"/>
      <c r="AE147" s="147" t="s">
        <v>474</v>
      </c>
      <c r="AF147" s="147"/>
      <c r="AG147" s="147"/>
      <c r="AH147" s="147"/>
      <c r="AI147" s="147"/>
      <c r="AJ147" s="147" t="s">
        <v>474</v>
      </c>
      <c r="AK147" s="147"/>
      <c r="AL147" s="147" t="s">
        <v>665</v>
      </c>
      <c r="AM147" s="147"/>
      <c r="AN147" s="152" t="s">
        <v>220</v>
      </c>
    </row>
    <row r="148" spans="13:40" x14ac:dyDescent="0.25">
      <c r="M148" s="1226" t="s">
        <v>1124</v>
      </c>
      <c r="N148" s="320" t="s">
        <v>98</v>
      </c>
      <c r="O148" s="152">
        <v>4</v>
      </c>
      <c r="P148" s="334">
        <v>18</v>
      </c>
      <c r="Q148" s="333" t="s">
        <v>761</v>
      </c>
      <c r="R148" s="358">
        <v>0.04</v>
      </c>
      <c r="S148" s="635">
        <v>0.3</v>
      </c>
      <c r="T148" s="410" t="s">
        <v>547</v>
      </c>
      <c r="U148" s="344" t="s">
        <v>551</v>
      </c>
      <c r="V148" s="348" t="s">
        <v>609</v>
      </c>
      <c r="W148" s="349" t="s">
        <v>610</v>
      </c>
      <c r="X148" s="349" t="s">
        <v>15</v>
      </c>
      <c r="Y148" s="147">
        <v>58413</v>
      </c>
      <c r="Z148" s="151"/>
      <c r="AA148" s="147"/>
      <c r="AB148" s="147"/>
      <c r="AC148" s="147"/>
      <c r="AD148" s="147"/>
      <c r="AF148" s="147"/>
      <c r="AG148" s="147"/>
      <c r="AH148" s="147"/>
      <c r="AI148" s="147"/>
      <c r="AK148" s="147"/>
      <c r="AL148" s="147" t="s">
        <v>474</v>
      </c>
      <c r="AM148" s="147"/>
      <c r="AN148" s="152" t="s">
        <v>665</v>
      </c>
    </row>
    <row r="149" spans="13:40" ht="15.75" thickBot="1" x14ac:dyDescent="0.3">
      <c r="M149" s="1226" t="s">
        <v>1110</v>
      </c>
      <c r="N149" s="320" t="s">
        <v>99</v>
      </c>
      <c r="O149" s="152">
        <v>7</v>
      </c>
      <c r="P149" s="334">
        <v>19</v>
      </c>
      <c r="Q149" s="335" t="s">
        <v>31</v>
      </c>
      <c r="R149" s="629" t="s">
        <v>1117</v>
      </c>
      <c r="S149" s="636">
        <v>0.35</v>
      </c>
      <c r="T149" s="350" t="s">
        <v>562</v>
      </c>
      <c r="U149" s="344" t="s">
        <v>563</v>
      </c>
      <c r="V149" s="348" t="s">
        <v>624</v>
      </c>
      <c r="W149" s="349" t="s">
        <v>625</v>
      </c>
      <c r="X149" s="349" t="s">
        <v>15</v>
      </c>
      <c r="Y149" s="147">
        <v>58602</v>
      </c>
      <c r="Z149" s="151"/>
      <c r="AA149" s="147"/>
      <c r="AB149" s="147"/>
      <c r="AC149" s="147"/>
      <c r="AD149" s="147"/>
      <c r="AF149" s="147"/>
      <c r="AG149" s="147"/>
      <c r="AH149" s="147"/>
      <c r="AI149" s="147"/>
      <c r="AK149" s="147"/>
      <c r="AM149" s="147"/>
      <c r="AN149" s="152" t="s">
        <v>474</v>
      </c>
    </row>
    <row r="150" spans="13:40" ht="15.75" thickBot="1" x14ac:dyDescent="0.3">
      <c r="M150" s="1228" t="s">
        <v>1121</v>
      </c>
      <c r="N150" s="320" t="s">
        <v>100</v>
      </c>
      <c r="O150" s="152">
        <v>6</v>
      </c>
      <c r="P150" s="334">
        <v>20</v>
      </c>
      <c r="Q150" s="335" t="s">
        <v>21</v>
      </c>
      <c r="R150" s="667" t="s">
        <v>1118</v>
      </c>
      <c r="S150" s="669"/>
      <c r="T150" s="350" t="s">
        <v>584</v>
      </c>
      <c r="U150" s="344" t="s">
        <v>585</v>
      </c>
      <c r="V150" s="348" t="s">
        <v>642</v>
      </c>
      <c r="W150" s="349" t="s">
        <v>643</v>
      </c>
      <c r="X150" s="349" t="s">
        <v>15</v>
      </c>
      <c r="Y150" s="147">
        <v>58554</v>
      </c>
      <c r="Z150" s="151"/>
      <c r="AA150" s="147"/>
      <c r="AB150" s="147"/>
      <c r="AC150" s="147"/>
      <c r="AD150" s="147"/>
      <c r="AF150" s="147"/>
      <c r="AG150" s="147"/>
      <c r="AH150" s="147"/>
      <c r="AI150" s="147"/>
      <c r="AK150" s="147"/>
      <c r="AM150" s="147"/>
      <c r="AN150" s="312"/>
    </row>
    <row r="151" spans="13:40" x14ac:dyDescent="0.25">
      <c r="N151" s="320" t="s">
        <v>101</v>
      </c>
      <c r="O151" s="152">
        <v>8</v>
      </c>
      <c r="P151" s="334">
        <v>21</v>
      </c>
      <c r="Q151" s="335" t="s">
        <v>376</v>
      </c>
      <c r="R151" s="358">
        <v>0.15</v>
      </c>
      <c r="S151" s="635">
        <v>0.15</v>
      </c>
      <c r="T151" s="350" t="s">
        <v>592</v>
      </c>
      <c r="U151" s="344" t="s">
        <v>593</v>
      </c>
      <c r="V151" s="348" t="s">
        <v>646</v>
      </c>
      <c r="W151" s="349" t="s">
        <v>630</v>
      </c>
      <c r="X151" s="349" t="s">
        <v>15</v>
      </c>
      <c r="Y151" s="147">
        <v>58701</v>
      </c>
      <c r="Z151" s="151"/>
      <c r="AA151" s="147"/>
      <c r="AB151" s="147"/>
      <c r="AC151" s="147"/>
      <c r="AD151" s="147"/>
      <c r="AE151" s="147"/>
      <c r="AF151" s="147"/>
      <c r="AG151" s="147"/>
      <c r="AH151" s="147"/>
      <c r="AI151" s="147"/>
      <c r="AJ151" s="147"/>
      <c r="AK151" s="147"/>
      <c r="AM151" s="147"/>
      <c r="AN151" s="312"/>
    </row>
    <row r="152" spans="13:40" ht="15.75" thickBot="1" x14ac:dyDescent="0.3">
      <c r="N152" s="320" t="s">
        <v>102</v>
      </c>
      <c r="O152" s="152">
        <v>7</v>
      </c>
      <c r="P152" s="334">
        <v>22</v>
      </c>
      <c r="Q152" s="335" t="s">
        <v>881</v>
      </c>
      <c r="R152" s="360">
        <v>0.25</v>
      </c>
      <c r="S152" s="636">
        <v>0.1</v>
      </c>
      <c r="T152" s="350" t="s">
        <v>582</v>
      </c>
      <c r="U152" s="344" t="s">
        <v>583</v>
      </c>
      <c r="V152" s="348" t="s">
        <v>642</v>
      </c>
      <c r="W152" s="349" t="s">
        <v>643</v>
      </c>
      <c r="X152" s="349" t="s">
        <v>15</v>
      </c>
      <c r="Y152" s="147">
        <v>58554</v>
      </c>
      <c r="Z152" s="151"/>
      <c r="AA152" s="147"/>
      <c r="AB152" s="147"/>
      <c r="AC152" s="147"/>
      <c r="AD152" s="147"/>
      <c r="AE152" s="147"/>
      <c r="AF152" s="147"/>
      <c r="AG152" s="147"/>
      <c r="AH152" s="147"/>
      <c r="AI152" s="147"/>
      <c r="AJ152" s="147"/>
      <c r="AK152" s="147"/>
      <c r="AL152" s="147"/>
      <c r="AM152" s="147"/>
      <c r="AN152" s="312"/>
    </row>
    <row r="153" spans="13:40" ht="15.75" thickBot="1" x14ac:dyDescent="0.3">
      <c r="N153" s="320" t="s">
        <v>103</v>
      </c>
      <c r="O153" s="152">
        <v>6</v>
      </c>
      <c r="P153" s="334">
        <v>23</v>
      </c>
      <c r="Q153" s="336" t="s">
        <v>882</v>
      </c>
      <c r="T153" s="350" t="s">
        <v>578</v>
      </c>
      <c r="U153" s="344" t="s">
        <v>579</v>
      </c>
      <c r="V153" s="348" t="s">
        <v>638</v>
      </c>
      <c r="W153" s="349" t="s">
        <v>639</v>
      </c>
      <c r="X153" s="349" t="s">
        <v>15</v>
      </c>
      <c r="Y153" s="147">
        <v>58344</v>
      </c>
      <c r="Z153" s="159"/>
      <c r="AA153" s="160"/>
      <c r="AB153" s="160"/>
      <c r="AC153" s="160"/>
      <c r="AD153" s="160"/>
      <c r="AE153" s="160"/>
      <c r="AF153" s="160"/>
      <c r="AG153" s="160"/>
      <c r="AH153" s="160"/>
      <c r="AI153" s="160"/>
      <c r="AJ153" s="160"/>
      <c r="AK153" s="160"/>
      <c r="AL153" s="160"/>
      <c r="AM153" s="160"/>
      <c r="AN153" s="161"/>
    </row>
    <row r="154" spans="13:40" ht="15.75" thickBot="1" x14ac:dyDescent="0.3">
      <c r="N154" s="320" t="s">
        <v>104</v>
      </c>
      <c r="O154" s="152">
        <v>6</v>
      </c>
      <c r="P154" s="334">
        <v>24</v>
      </c>
      <c r="Q154" s="333" t="s">
        <v>507</v>
      </c>
      <c r="T154" s="350" t="s">
        <v>426</v>
      </c>
      <c r="U154" s="344" t="s">
        <v>552</v>
      </c>
      <c r="V154" s="348" t="s">
        <v>616</v>
      </c>
      <c r="W154" s="349" t="s">
        <v>617</v>
      </c>
      <c r="X154" s="349" t="s">
        <v>15</v>
      </c>
      <c r="Y154" s="147">
        <v>58504</v>
      </c>
      <c r="Z154" s="685" t="s">
        <v>232</v>
      </c>
      <c r="AA154" s="686"/>
      <c r="AB154" s="686"/>
      <c r="AC154" s="686"/>
      <c r="AD154" s="686"/>
      <c r="AE154" s="686"/>
      <c r="AF154" s="686"/>
      <c r="AG154" s="686"/>
      <c r="AH154" s="681" t="str">
        <f>IF('Project Summary'!$C$19="Yes","LIHTC_","")&amp;IF('Project Summary'!$C$44="Yes","HTF_","")&amp;IF('Project Summary'!$C$66="Yes","HOME_","")&amp;IF('Project Summary'!$C$89="Yes","HIF_","")&amp; "Rents"</f>
        <v>Rents</v>
      </c>
      <c r="AI154" s="681"/>
      <c r="AJ154" s="681"/>
      <c r="AK154" s="681"/>
      <c r="AL154" s="681"/>
      <c r="AM154" s="681"/>
      <c r="AN154" s="682"/>
    </row>
    <row r="155" spans="13:40" x14ac:dyDescent="0.25">
      <c r="N155" s="320" t="s">
        <v>105</v>
      </c>
      <c r="O155" s="152">
        <v>2</v>
      </c>
      <c r="P155" s="334">
        <v>25</v>
      </c>
      <c r="Q155" s="337" t="s">
        <v>508</v>
      </c>
      <c r="T155" s="350" t="s">
        <v>598</v>
      </c>
      <c r="U155" s="344" t="s">
        <v>599</v>
      </c>
      <c r="V155" s="348" t="s">
        <v>650</v>
      </c>
      <c r="W155" s="349" t="s">
        <v>651</v>
      </c>
      <c r="X155" s="349" t="s">
        <v>15</v>
      </c>
      <c r="Y155" s="147">
        <v>58787</v>
      </c>
      <c r="Z155" s="341" t="s">
        <v>671</v>
      </c>
      <c r="AA155" s="594"/>
      <c r="AB155" s="594"/>
      <c r="AC155" s="594"/>
      <c r="AD155" s="594"/>
      <c r="AE155" s="594"/>
      <c r="AF155" s="594"/>
      <c r="AG155" s="594"/>
      <c r="AH155" s="594"/>
      <c r="AI155" s="594"/>
      <c r="AJ155" s="594"/>
      <c r="AK155" s="594"/>
      <c r="AL155" s="594"/>
      <c r="AM155" s="594"/>
      <c r="AN155" s="342"/>
    </row>
    <row r="156" spans="13:40" x14ac:dyDescent="0.25">
      <c r="N156" s="320" t="s">
        <v>106</v>
      </c>
      <c r="O156" s="152">
        <v>6</v>
      </c>
      <c r="P156" s="334">
        <v>26</v>
      </c>
      <c r="Q156" s="337" t="s">
        <v>512</v>
      </c>
      <c r="T156" s="350" t="s">
        <v>556</v>
      </c>
      <c r="U156" s="344" t="s">
        <v>557</v>
      </c>
      <c r="V156" s="348" t="s">
        <v>621</v>
      </c>
      <c r="W156" s="349" t="s">
        <v>90</v>
      </c>
      <c r="X156" s="349" t="s">
        <v>15</v>
      </c>
      <c r="Y156" s="147">
        <v>58220</v>
      </c>
      <c r="Z156" s="354" t="s">
        <v>672</v>
      </c>
      <c r="AA156" s="355" t="s">
        <v>673</v>
      </c>
      <c r="AB156" s="355" t="s">
        <v>732</v>
      </c>
      <c r="AC156" s="355" t="s">
        <v>674</v>
      </c>
      <c r="AD156" s="237" t="s">
        <v>680</v>
      </c>
      <c r="AE156" s="237" t="s">
        <v>743</v>
      </c>
      <c r="AF156" s="237" t="s">
        <v>681</v>
      </c>
      <c r="AG156" s="237" t="s">
        <v>744</v>
      </c>
      <c r="AH156" s="237" t="s">
        <v>682</v>
      </c>
      <c r="AI156" s="237" t="s">
        <v>745</v>
      </c>
      <c r="AJ156" s="237" t="s">
        <v>735</v>
      </c>
      <c r="AK156" s="237" t="s">
        <v>675</v>
      </c>
      <c r="AL156" s="237" t="s">
        <v>736</v>
      </c>
      <c r="AM156" s="237" t="s">
        <v>746</v>
      </c>
      <c r="AN156" s="405" t="s">
        <v>733</v>
      </c>
    </row>
    <row r="157" spans="13:40" x14ac:dyDescent="0.25">
      <c r="N157" s="320" t="s">
        <v>107</v>
      </c>
      <c r="O157" s="152">
        <v>1</v>
      </c>
      <c r="P157" s="334">
        <v>27</v>
      </c>
      <c r="Q157" s="337" t="s">
        <v>509</v>
      </c>
      <c r="T157" s="350" t="s">
        <v>558</v>
      </c>
      <c r="U157" s="344" t="s">
        <v>559</v>
      </c>
      <c r="V157" s="348" t="s">
        <v>622</v>
      </c>
      <c r="W157" s="349" t="s">
        <v>623</v>
      </c>
      <c r="X157" s="349" t="s">
        <v>15</v>
      </c>
      <c r="Y157" s="147">
        <v>58301</v>
      </c>
      <c r="Z157" s="358">
        <v>0.2</v>
      </c>
      <c r="AA157" s="321">
        <v>0.3</v>
      </c>
      <c r="AB157" s="321" t="s">
        <v>725</v>
      </c>
      <c r="AC157" s="321">
        <v>0.3</v>
      </c>
      <c r="AD157" s="321">
        <v>0.2</v>
      </c>
      <c r="AE157" s="321">
        <v>0.2</v>
      </c>
      <c r="AF157" s="321">
        <v>0.2</v>
      </c>
      <c r="AG157" s="321">
        <v>0.3</v>
      </c>
      <c r="AH157" s="321">
        <v>0.3</v>
      </c>
      <c r="AI157" s="321">
        <v>0.3</v>
      </c>
      <c r="AJ157" s="321">
        <v>0.2</v>
      </c>
      <c r="AK157" s="321">
        <v>0.2</v>
      </c>
      <c r="AL157" s="321">
        <v>0.2</v>
      </c>
      <c r="AM157" s="321">
        <v>0.3</v>
      </c>
      <c r="AN157" s="359">
        <v>0.2</v>
      </c>
    </row>
    <row r="158" spans="13:40" x14ac:dyDescent="0.25">
      <c r="N158" s="320" t="s">
        <v>108</v>
      </c>
      <c r="O158" s="152">
        <v>7</v>
      </c>
      <c r="P158" s="334">
        <v>28</v>
      </c>
      <c r="Q158" s="337" t="s">
        <v>757</v>
      </c>
      <c r="T158" s="350" t="s">
        <v>602</v>
      </c>
      <c r="U158" s="344" t="s">
        <v>603</v>
      </c>
      <c r="V158" s="348" t="s">
        <v>654</v>
      </c>
      <c r="W158" s="349" t="s">
        <v>655</v>
      </c>
      <c r="X158" s="349" t="s">
        <v>15</v>
      </c>
      <c r="Y158" s="147">
        <v>58078</v>
      </c>
      <c r="Z158" s="358">
        <v>0.3</v>
      </c>
      <c r="AA158" s="321" t="s">
        <v>220</v>
      </c>
      <c r="AB158" s="321" t="s">
        <v>726</v>
      </c>
      <c r="AC158" s="321">
        <v>0.5</v>
      </c>
      <c r="AD158" s="321">
        <v>0.3</v>
      </c>
      <c r="AE158" s="321">
        <v>0.3</v>
      </c>
      <c r="AF158" s="321">
        <v>0.3</v>
      </c>
      <c r="AG158" s="321" t="s">
        <v>725</v>
      </c>
      <c r="AH158" s="321">
        <v>0.5</v>
      </c>
      <c r="AI158" s="321" t="s">
        <v>725</v>
      </c>
      <c r="AJ158" s="321">
        <v>0.3</v>
      </c>
      <c r="AK158" s="321">
        <v>0.3</v>
      </c>
      <c r="AL158" s="321">
        <v>0.3</v>
      </c>
      <c r="AM158" s="321">
        <v>0.5</v>
      </c>
      <c r="AN158" s="359">
        <v>0.3</v>
      </c>
    </row>
    <row r="159" spans="13:40" x14ac:dyDescent="0.25">
      <c r="N159" s="320" t="s">
        <v>109</v>
      </c>
      <c r="O159" s="152">
        <v>7</v>
      </c>
      <c r="P159" s="334">
        <v>29</v>
      </c>
      <c r="Q159" s="337" t="s">
        <v>510</v>
      </c>
      <c r="T159" s="350" t="s">
        <v>596</v>
      </c>
      <c r="U159" s="344" t="s">
        <v>597</v>
      </c>
      <c r="V159" s="348" t="s">
        <v>649</v>
      </c>
      <c r="W159" s="349" t="s">
        <v>120</v>
      </c>
      <c r="X159" s="349" t="s">
        <v>15</v>
      </c>
      <c r="Y159" s="147">
        <v>58366</v>
      </c>
      <c r="Z159" s="358">
        <v>0.4</v>
      </c>
      <c r="AA159" s="321" t="s">
        <v>219</v>
      </c>
      <c r="AB159" s="147" t="s">
        <v>219</v>
      </c>
      <c r="AC159" s="321">
        <v>0.8</v>
      </c>
      <c r="AD159" s="321">
        <v>0.4</v>
      </c>
      <c r="AE159" s="321">
        <v>0.4</v>
      </c>
      <c r="AF159" s="321">
        <v>0.4</v>
      </c>
      <c r="AG159" s="321" t="s">
        <v>726</v>
      </c>
      <c r="AH159" s="321">
        <v>0.8</v>
      </c>
      <c r="AI159" s="321" t="s">
        <v>726</v>
      </c>
      <c r="AJ159" s="321">
        <v>0.4</v>
      </c>
      <c r="AK159" s="321">
        <v>0.4</v>
      </c>
      <c r="AL159" s="321">
        <v>0.4</v>
      </c>
      <c r="AM159" s="321" t="s">
        <v>725</v>
      </c>
      <c r="AN159" s="359">
        <v>0.4</v>
      </c>
    </row>
    <row r="160" spans="13:40" x14ac:dyDescent="0.25">
      <c r="N160" s="320" t="s">
        <v>110</v>
      </c>
      <c r="O160" s="152">
        <v>7</v>
      </c>
      <c r="P160" s="334">
        <v>30</v>
      </c>
      <c r="Q160" s="337" t="s">
        <v>511</v>
      </c>
      <c r="T160" s="350" t="s">
        <v>560</v>
      </c>
      <c r="U160" s="344" t="s">
        <v>561</v>
      </c>
      <c r="V160" s="348" t="s">
        <v>624</v>
      </c>
      <c r="W160" s="349" t="s">
        <v>625</v>
      </c>
      <c r="X160" s="349" t="s">
        <v>15</v>
      </c>
      <c r="Y160" s="152">
        <v>58602</v>
      </c>
      <c r="Z160" s="358">
        <v>0.5</v>
      </c>
      <c r="AA160" s="321" t="s">
        <v>474</v>
      </c>
      <c r="AB160" s="147" t="s">
        <v>474</v>
      </c>
      <c r="AC160" s="321" t="s">
        <v>220</v>
      </c>
      <c r="AD160" s="321">
        <v>0.5</v>
      </c>
      <c r="AE160" s="321">
        <v>0.5</v>
      </c>
      <c r="AF160" s="321">
        <v>0.5</v>
      </c>
      <c r="AG160" s="321" t="s">
        <v>220</v>
      </c>
      <c r="AH160" s="321" t="s">
        <v>220</v>
      </c>
      <c r="AI160" s="321">
        <v>0.5</v>
      </c>
      <c r="AJ160" s="321">
        <v>0.5</v>
      </c>
      <c r="AK160" s="321">
        <v>0.5</v>
      </c>
      <c r="AL160" s="321">
        <v>0.5</v>
      </c>
      <c r="AM160" s="321" t="s">
        <v>726</v>
      </c>
      <c r="AN160" s="359">
        <v>0.5</v>
      </c>
    </row>
    <row r="161" spans="14:40" x14ac:dyDescent="0.25">
      <c r="N161" s="320" t="s">
        <v>111</v>
      </c>
      <c r="O161" s="152">
        <v>2</v>
      </c>
      <c r="P161" s="334">
        <v>31</v>
      </c>
      <c r="Q161" s="337" t="s">
        <v>517</v>
      </c>
      <c r="T161" s="350" t="s">
        <v>554</v>
      </c>
      <c r="U161" s="344" t="s">
        <v>555</v>
      </c>
      <c r="V161" s="348" t="s">
        <v>619</v>
      </c>
      <c r="W161" s="349" t="s">
        <v>620</v>
      </c>
      <c r="X161" s="349" t="s">
        <v>15</v>
      </c>
      <c r="Y161" s="152">
        <v>58324</v>
      </c>
      <c r="Z161" s="358">
        <v>0.6</v>
      </c>
      <c r="AA161" s="321"/>
      <c r="AC161" s="147" t="s">
        <v>219</v>
      </c>
      <c r="AD161" s="321">
        <v>0.6</v>
      </c>
      <c r="AE161" s="321">
        <v>0.6</v>
      </c>
      <c r="AF161" s="321">
        <v>0.6</v>
      </c>
      <c r="AG161" s="321" t="s">
        <v>665</v>
      </c>
      <c r="AH161" s="321" t="s">
        <v>665</v>
      </c>
      <c r="AI161" s="321">
        <v>0.8</v>
      </c>
      <c r="AJ161" s="321" t="s">
        <v>725</v>
      </c>
      <c r="AK161" s="321">
        <v>0.6</v>
      </c>
      <c r="AL161" s="321" t="s">
        <v>725</v>
      </c>
      <c r="AM161" s="321">
        <v>0.8</v>
      </c>
      <c r="AN161" s="359">
        <v>0.6</v>
      </c>
    </row>
    <row r="162" spans="14:40" x14ac:dyDescent="0.25">
      <c r="N162" s="320" t="s">
        <v>112</v>
      </c>
      <c r="O162" s="152">
        <v>4</v>
      </c>
      <c r="P162" s="334">
        <v>32</v>
      </c>
      <c r="Q162" s="337" t="s">
        <v>758</v>
      </c>
      <c r="T162" s="350" t="s">
        <v>574</v>
      </c>
      <c r="U162" s="344" t="s">
        <v>575</v>
      </c>
      <c r="V162" s="348" t="s">
        <v>634</v>
      </c>
      <c r="W162" s="349" t="s">
        <v>635</v>
      </c>
      <c r="X162" s="349" t="s">
        <v>15</v>
      </c>
      <c r="Y162" s="152">
        <v>58045</v>
      </c>
      <c r="Z162" s="358">
        <v>0.7</v>
      </c>
      <c r="AA162" s="321"/>
      <c r="AB162" s="321"/>
      <c r="AC162" s="147" t="s">
        <v>474</v>
      </c>
      <c r="AD162" s="321">
        <v>0.7</v>
      </c>
      <c r="AE162" s="321" t="s">
        <v>725</v>
      </c>
      <c r="AF162" s="321">
        <v>0.7</v>
      </c>
      <c r="AG162" s="321" t="s">
        <v>474</v>
      </c>
      <c r="AH162" s="321" t="s">
        <v>474</v>
      </c>
      <c r="AI162" s="321" t="s">
        <v>220</v>
      </c>
      <c r="AJ162" s="321" t="s">
        <v>726</v>
      </c>
      <c r="AK162" s="321">
        <v>0.7</v>
      </c>
      <c r="AL162" s="321" t="s">
        <v>726</v>
      </c>
      <c r="AM162" s="147" t="s">
        <v>220</v>
      </c>
      <c r="AN162" s="359">
        <v>0.7</v>
      </c>
    </row>
    <row r="163" spans="14:40" ht="15.75" thickBot="1" x14ac:dyDescent="0.3">
      <c r="N163" s="320" t="s">
        <v>113</v>
      </c>
      <c r="O163" s="152">
        <v>7</v>
      </c>
      <c r="P163" s="334">
        <v>33</v>
      </c>
      <c r="Q163" s="337" t="s">
        <v>759</v>
      </c>
      <c r="T163" s="351" t="s">
        <v>570</v>
      </c>
      <c r="U163" s="345" t="s">
        <v>571</v>
      </c>
      <c r="V163" s="352" t="s">
        <v>631</v>
      </c>
      <c r="W163" s="353" t="s">
        <v>632</v>
      </c>
      <c r="X163" s="353" t="s">
        <v>15</v>
      </c>
      <c r="Y163" s="161">
        <v>58237</v>
      </c>
      <c r="Z163" s="358">
        <v>0.8</v>
      </c>
      <c r="AA163" s="321"/>
      <c r="AB163" s="321"/>
      <c r="AC163" s="321"/>
      <c r="AD163" s="321">
        <v>0.8</v>
      </c>
      <c r="AE163" s="321" t="s">
        <v>726</v>
      </c>
      <c r="AF163" s="321">
        <v>0.8</v>
      </c>
      <c r="AG163" s="321"/>
      <c r="AH163" s="321"/>
      <c r="AI163" s="321" t="s">
        <v>665</v>
      </c>
      <c r="AJ163" s="321">
        <v>0.6</v>
      </c>
      <c r="AK163" s="321">
        <v>0.8</v>
      </c>
      <c r="AL163" s="321">
        <v>0.6</v>
      </c>
      <c r="AM163" s="147" t="s">
        <v>219</v>
      </c>
      <c r="AN163" s="359">
        <v>0.8</v>
      </c>
    </row>
    <row r="164" spans="14:40" x14ac:dyDescent="0.25">
      <c r="N164" s="320" t="s">
        <v>114</v>
      </c>
      <c r="O164" s="152">
        <v>4</v>
      </c>
      <c r="P164" s="334">
        <v>34</v>
      </c>
      <c r="Q164" s="337" t="s">
        <v>755</v>
      </c>
      <c r="T164" s="1224"/>
      <c r="U164" s="1224"/>
      <c r="V164" s="1224"/>
      <c r="W164" s="1224"/>
      <c r="X164" s="1224"/>
      <c r="Y164" s="1225"/>
      <c r="Z164" s="358" t="s">
        <v>220</v>
      </c>
      <c r="AA164" s="321"/>
      <c r="AB164" s="321"/>
      <c r="AC164" s="321"/>
      <c r="AD164" s="321" t="s">
        <v>220</v>
      </c>
      <c r="AE164" s="321">
        <v>0.7</v>
      </c>
      <c r="AF164" s="321" t="s">
        <v>220</v>
      </c>
      <c r="AG164" s="321"/>
      <c r="AH164" s="321"/>
      <c r="AI164" s="321" t="s">
        <v>474</v>
      </c>
      <c r="AJ164" s="321">
        <v>0.7</v>
      </c>
      <c r="AK164" s="321" t="s">
        <v>220</v>
      </c>
      <c r="AL164" s="321">
        <v>0.7</v>
      </c>
      <c r="AM164" s="147" t="s">
        <v>474</v>
      </c>
      <c r="AN164" s="359" t="s">
        <v>725</v>
      </c>
    </row>
    <row r="165" spans="14:40" x14ac:dyDescent="0.25">
      <c r="N165" s="320" t="s">
        <v>115</v>
      </c>
      <c r="O165" s="152">
        <v>2</v>
      </c>
      <c r="P165" s="334">
        <v>35</v>
      </c>
      <c r="Q165" s="337" t="s">
        <v>754</v>
      </c>
      <c r="Z165" s="358" t="s">
        <v>665</v>
      </c>
      <c r="AA165" s="321"/>
      <c r="AB165" s="321"/>
      <c r="AC165" s="321"/>
      <c r="AD165" s="321" t="s">
        <v>665</v>
      </c>
      <c r="AE165" s="321">
        <v>0.8</v>
      </c>
      <c r="AF165" s="321" t="s">
        <v>665</v>
      </c>
      <c r="AG165" s="321"/>
      <c r="AH165" s="321"/>
      <c r="AI165" s="321"/>
      <c r="AJ165" s="321">
        <v>0.8</v>
      </c>
      <c r="AK165" s="321" t="s">
        <v>665</v>
      </c>
      <c r="AL165" s="321">
        <v>0.8</v>
      </c>
      <c r="AM165" s="321"/>
      <c r="AN165" s="359" t="s">
        <v>726</v>
      </c>
    </row>
    <row r="166" spans="14:40" ht="15.75" thickBot="1" x14ac:dyDescent="0.3">
      <c r="N166" s="320" t="s">
        <v>116</v>
      </c>
      <c r="O166" s="152">
        <v>3</v>
      </c>
      <c r="P166" s="334">
        <v>36</v>
      </c>
      <c r="Q166" s="338" t="s">
        <v>756</v>
      </c>
      <c r="Z166" s="358" t="s">
        <v>474</v>
      </c>
      <c r="AA166" s="321"/>
      <c r="AB166" s="321"/>
      <c r="AC166" s="321"/>
      <c r="AD166" s="321" t="s">
        <v>474</v>
      </c>
      <c r="AE166" s="321" t="s">
        <v>220</v>
      </c>
      <c r="AF166" s="321" t="s">
        <v>474</v>
      </c>
      <c r="AG166" s="321"/>
      <c r="AH166" s="321"/>
      <c r="AI166" s="321"/>
      <c r="AJ166" s="321" t="s">
        <v>220</v>
      </c>
      <c r="AK166" s="321" t="s">
        <v>474</v>
      </c>
      <c r="AL166" s="147" t="s">
        <v>220</v>
      </c>
      <c r="AM166" s="321"/>
      <c r="AN166" s="359" t="s">
        <v>220</v>
      </c>
    </row>
    <row r="167" spans="14:40" x14ac:dyDescent="0.25">
      <c r="N167" s="320" t="s">
        <v>117</v>
      </c>
      <c r="O167" s="152">
        <v>5</v>
      </c>
      <c r="P167" s="334">
        <v>37</v>
      </c>
      <c r="Q167" s="333" t="s">
        <v>515</v>
      </c>
      <c r="Z167" s="358"/>
      <c r="AA167" s="321"/>
      <c r="AB167" s="321"/>
      <c r="AC167" s="321"/>
      <c r="AD167" s="321"/>
      <c r="AE167" s="321" t="s">
        <v>665</v>
      </c>
      <c r="AF167" s="321"/>
      <c r="AG167" s="321"/>
      <c r="AH167" s="321"/>
      <c r="AI167" s="321"/>
      <c r="AJ167" s="321" t="s">
        <v>665</v>
      </c>
      <c r="AK167" s="321"/>
      <c r="AL167" s="147" t="s">
        <v>665</v>
      </c>
      <c r="AM167" s="321"/>
      <c r="AN167" s="359" t="s">
        <v>665</v>
      </c>
    </row>
    <row r="168" spans="14:40" x14ac:dyDescent="0.25">
      <c r="N168" s="320" t="s">
        <v>118</v>
      </c>
      <c r="O168" s="152">
        <v>2</v>
      </c>
      <c r="P168" s="334">
        <v>38</v>
      </c>
      <c r="Q168" s="339">
        <v>1</v>
      </c>
      <c r="Z168" s="358"/>
      <c r="AA168" s="321"/>
      <c r="AB168" s="321"/>
      <c r="AC168" s="321"/>
      <c r="AD168" s="321"/>
      <c r="AE168" s="321" t="s">
        <v>474</v>
      </c>
      <c r="AF168" s="321"/>
      <c r="AG168" s="321"/>
      <c r="AH168" s="321"/>
      <c r="AI168" s="321"/>
      <c r="AJ168" s="321" t="s">
        <v>474</v>
      </c>
      <c r="AK168" s="321"/>
      <c r="AL168" s="147" t="s">
        <v>474</v>
      </c>
      <c r="AM168" s="321"/>
      <c r="AN168" s="359" t="s">
        <v>474</v>
      </c>
    </row>
    <row r="169" spans="14:40" ht="15.75" thickBot="1" x14ac:dyDescent="0.3">
      <c r="N169" s="320" t="s">
        <v>119</v>
      </c>
      <c r="O169" s="152">
        <v>5</v>
      </c>
      <c r="P169" s="334">
        <v>39</v>
      </c>
      <c r="Q169" s="340">
        <v>1.3</v>
      </c>
      <c r="Z169" s="360"/>
      <c r="AA169" s="361"/>
      <c r="AB169" s="361"/>
      <c r="AC169" s="361"/>
      <c r="AD169" s="361"/>
      <c r="AE169" s="361"/>
      <c r="AF169" s="361"/>
      <c r="AG169" s="361"/>
      <c r="AH169" s="361"/>
      <c r="AI169" s="361"/>
      <c r="AJ169" s="361"/>
      <c r="AK169" s="361"/>
      <c r="AL169" s="361"/>
      <c r="AM169" s="361"/>
      <c r="AN169" s="362"/>
    </row>
    <row r="170" spans="14:40" x14ac:dyDescent="0.25">
      <c r="N170" s="320" t="s">
        <v>120</v>
      </c>
      <c r="O170" s="152">
        <v>3</v>
      </c>
      <c r="P170" s="334">
        <v>40</v>
      </c>
      <c r="Q170" s="333" t="s">
        <v>55</v>
      </c>
      <c r="Z170" s="321"/>
      <c r="AA170" s="321"/>
      <c r="AB170" s="321"/>
      <c r="AC170" s="321"/>
      <c r="AD170" s="321"/>
      <c r="AE170" s="321"/>
      <c r="AF170" s="321"/>
      <c r="AG170" s="321"/>
      <c r="AH170" s="321"/>
      <c r="AI170" s="321"/>
      <c r="AJ170" s="321"/>
      <c r="AK170" s="321"/>
      <c r="AL170" s="321"/>
      <c r="AM170" s="321"/>
      <c r="AN170" s="321"/>
    </row>
    <row r="171" spans="14:40" x14ac:dyDescent="0.25">
      <c r="N171" s="320" t="s">
        <v>121</v>
      </c>
      <c r="O171" s="152">
        <v>5</v>
      </c>
      <c r="P171" s="334">
        <v>41</v>
      </c>
      <c r="Q171" s="334" t="s">
        <v>71</v>
      </c>
    </row>
    <row r="172" spans="14:40" x14ac:dyDescent="0.25">
      <c r="N172" s="320" t="s">
        <v>122</v>
      </c>
      <c r="O172" s="152">
        <v>7</v>
      </c>
      <c r="P172" s="334">
        <v>42</v>
      </c>
      <c r="Q172" s="334" t="s">
        <v>72</v>
      </c>
    </row>
    <row r="173" spans="14:40" ht="15.75" thickBot="1" x14ac:dyDescent="0.3">
      <c r="N173" s="320" t="s">
        <v>123</v>
      </c>
      <c r="O173" s="152">
        <v>7</v>
      </c>
      <c r="P173" s="334">
        <v>43</v>
      </c>
      <c r="Q173" s="332" t="s">
        <v>73</v>
      </c>
    </row>
    <row r="174" spans="14:40" x14ac:dyDescent="0.25">
      <c r="N174" s="320" t="s">
        <v>124</v>
      </c>
      <c r="O174" s="152">
        <v>8</v>
      </c>
      <c r="P174" s="334">
        <v>44</v>
      </c>
      <c r="Q174" s="333" t="s">
        <v>56</v>
      </c>
    </row>
    <row r="175" spans="14:40" x14ac:dyDescent="0.25">
      <c r="N175" s="320" t="s">
        <v>125</v>
      </c>
      <c r="O175" s="152">
        <v>8</v>
      </c>
      <c r="P175" s="334">
        <v>45</v>
      </c>
      <c r="Q175" s="334" t="s">
        <v>74</v>
      </c>
    </row>
    <row r="176" spans="14:40" ht="15.75" thickBot="1" x14ac:dyDescent="0.3">
      <c r="N176" s="320" t="s">
        <v>126</v>
      </c>
      <c r="O176" s="152">
        <v>5</v>
      </c>
      <c r="P176" s="334">
        <v>46</v>
      </c>
      <c r="Q176" s="332" t="s">
        <v>75</v>
      </c>
    </row>
    <row r="177" spans="14:17" ht="15.75" thickBot="1" x14ac:dyDescent="0.3">
      <c r="N177" s="320" t="s">
        <v>127</v>
      </c>
      <c r="O177" s="152">
        <v>6</v>
      </c>
      <c r="P177" s="332">
        <v>47</v>
      </c>
      <c r="Q177" s="333" t="s">
        <v>664</v>
      </c>
    </row>
    <row r="178" spans="14:17" x14ac:dyDescent="0.25">
      <c r="N178" s="320" t="s">
        <v>128</v>
      </c>
      <c r="O178" s="152">
        <v>3</v>
      </c>
      <c r="Q178" s="334" t="s">
        <v>659</v>
      </c>
    </row>
    <row r="179" spans="14:17" x14ac:dyDescent="0.25">
      <c r="N179" s="320" t="s">
        <v>129</v>
      </c>
      <c r="O179" s="152">
        <v>5</v>
      </c>
      <c r="Q179" s="334" t="s">
        <v>660</v>
      </c>
    </row>
    <row r="180" spans="14:17" x14ac:dyDescent="0.25">
      <c r="N180" s="320" t="s">
        <v>130</v>
      </c>
      <c r="O180" s="152">
        <v>4</v>
      </c>
      <c r="Q180" s="334" t="s">
        <v>662</v>
      </c>
    </row>
    <row r="181" spans="14:17" x14ac:dyDescent="0.25">
      <c r="N181" s="320" t="s">
        <v>131</v>
      </c>
      <c r="O181" s="152">
        <v>2</v>
      </c>
      <c r="Q181" s="334" t="s">
        <v>661</v>
      </c>
    </row>
    <row r="182" spans="14:17" ht="15.75" thickBot="1" x14ac:dyDescent="0.3">
      <c r="N182" s="320" t="s">
        <v>132</v>
      </c>
      <c r="O182" s="152">
        <v>6</v>
      </c>
      <c r="Q182" s="332" t="s">
        <v>663</v>
      </c>
    </row>
    <row r="183" spans="14:17" ht="15.75" thickBot="1" x14ac:dyDescent="0.3">
      <c r="N183" s="323" t="s">
        <v>133</v>
      </c>
      <c r="O183" s="161">
        <v>1</v>
      </c>
      <c r="Q183" s="333" t="s">
        <v>1059</v>
      </c>
    </row>
    <row r="184" spans="14:17" x14ac:dyDescent="0.25">
      <c r="Q184" s="334" t="s">
        <v>1068</v>
      </c>
    </row>
    <row r="185" spans="14:17" x14ac:dyDescent="0.25">
      <c r="Q185" s="334" t="s">
        <v>1060</v>
      </c>
    </row>
    <row r="186" spans="14:17" x14ac:dyDescent="0.25">
      <c r="Q186" s="334" t="s">
        <v>1061</v>
      </c>
    </row>
    <row r="187" spans="14:17" ht="15.75" thickBot="1" x14ac:dyDescent="0.3">
      <c r="Q187" s="332" t="s">
        <v>1076</v>
      </c>
    </row>
    <row r="188" spans="14:17" x14ac:dyDescent="0.25">
      <c r="Q188" s="333" t="s">
        <v>1069</v>
      </c>
    </row>
    <row r="189" spans="14:17" x14ac:dyDescent="0.25">
      <c r="Q189" s="334" t="s">
        <v>1071</v>
      </c>
    </row>
    <row r="190" spans="14:17" ht="15.75" thickBot="1" x14ac:dyDescent="0.3">
      <c r="Q190" s="332" t="s">
        <v>1070</v>
      </c>
    </row>
    <row r="191" spans="14:17" x14ac:dyDescent="0.25">
      <c r="Q191" s="147"/>
    </row>
  </sheetData>
  <sheetProtection algorithmName="SHA-512" hashValue="60qq4cTzMh8nv5WuOdjnGCnV+OOTnl49HXldtX48kC5MACOF3IcGvLJnShoSbEDzYQtwHuMd8EvEPin/ApTlsA==" saltValue="CNIBEYrRhD/yFAq6tGD+5g==" spinCount="100000" sheet="1" objects="1" scenarios="1"/>
  <sortState xmlns:xlrd2="http://schemas.microsoft.com/office/spreadsheetml/2017/richdata2" ref="Q179:Q182">
    <sortCondition ref="Q178:Q182"/>
  </sortState>
  <dataConsolidate/>
  <mergeCells count="185">
    <mergeCell ref="A23:B23"/>
    <mergeCell ref="C23:E23"/>
    <mergeCell ref="F98:I98"/>
    <mergeCell ref="B95:C95"/>
    <mergeCell ref="F99:I99"/>
    <mergeCell ref="A87:K87"/>
    <mergeCell ref="A64:K64"/>
    <mergeCell ref="A66:B66"/>
    <mergeCell ref="F71:I71"/>
    <mergeCell ref="A72:C72"/>
    <mergeCell ref="F73:I73"/>
    <mergeCell ref="F72:I72"/>
    <mergeCell ref="F97:I97"/>
    <mergeCell ref="I93:K93"/>
    <mergeCell ref="F94:I94"/>
    <mergeCell ref="F91:H91"/>
    <mergeCell ref="C90:I90"/>
    <mergeCell ref="A68:B68"/>
    <mergeCell ref="F68:H68"/>
    <mergeCell ref="I68:J68"/>
    <mergeCell ref="B75:C75"/>
    <mergeCell ref="B74:D74"/>
    <mergeCell ref="C35:E35"/>
    <mergeCell ref="E89:H89"/>
    <mergeCell ref="A71:C71"/>
    <mergeCell ref="F74:I74"/>
    <mergeCell ref="A35:B35"/>
    <mergeCell ref="A36:B36"/>
    <mergeCell ref="B39:C39"/>
    <mergeCell ref="D40:E40"/>
    <mergeCell ref="D39:E39"/>
    <mergeCell ref="A67:B67"/>
    <mergeCell ref="C67:I67"/>
    <mergeCell ref="C45:I45"/>
    <mergeCell ref="E44:H44"/>
    <mergeCell ref="A46:B46"/>
    <mergeCell ref="B49:C49"/>
    <mergeCell ref="E46:H46"/>
    <mergeCell ref="I46:J46"/>
    <mergeCell ref="A50:C50"/>
    <mergeCell ref="D62:E62"/>
    <mergeCell ref="A42:K42"/>
    <mergeCell ref="B60:I60"/>
    <mergeCell ref="B61:C61"/>
    <mergeCell ref="D61:E61"/>
    <mergeCell ref="A44:B44"/>
    <mergeCell ref="C56:D56"/>
    <mergeCell ref="G39:I39"/>
    <mergeCell ref="C30:D30"/>
    <mergeCell ref="A30:B30"/>
    <mergeCell ref="C58:D58"/>
    <mergeCell ref="C57:D57"/>
    <mergeCell ref="B52:D52"/>
    <mergeCell ref="C55:D55"/>
    <mergeCell ref="C54:D54"/>
    <mergeCell ref="C53:D53"/>
    <mergeCell ref="A45:B45"/>
    <mergeCell ref="A1:K1"/>
    <mergeCell ref="E19:H19"/>
    <mergeCell ref="A21:B21"/>
    <mergeCell ref="A6:B6"/>
    <mergeCell ref="A8:B8"/>
    <mergeCell ref="A19:B19"/>
    <mergeCell ref="A14:B14"/>
    <mergeCell ref="H14:J14"/>
    <mergeCell ref="A27:B27"/>
    <mergeCell ref="H23:I23"/>
    <mergeCell ref="H22:I22"/>
    <mergeCell ref="F21:I21"/>
    <mergeCell ref="I20:K20"/>
    <mergeCell ref="C20:G20"/>
    <mergeCell ref="A20:B20"/>
    <mergeCell ref="A3:K3"/>
    <mergeCell ref="H26:I26"/>
    <mergeCell ref="A25:B25"/>
    <mergeCell ref="A22:B22"/>
    <mergeCell ref="A26:B26"/>
    <mergeCell ref="F22:G28"/>
    <mergeCell ref="G12:H12"/>
    <mergeCell ref="A17:K17"/>
    <mergeCell ref="C5:F5"/>
    <mergeCell ref="F34:I34"/>
    <mergeCell ref="F36:I36"/>
    <mergeCell ref="F103:I103"/>
    <mergeCell ref="F104:I104"/>
    <mergeCell ref="F105:I105"/>
    <mergeCell ref="H25:I25"/>
    <mergeCell ref="F31:I31"/>
    <mergeCell ref="F29:I29"/>
    <mergeCell ref="F77:I77"/>
    <mergeCell ref="F30:I30"/>
    <mergeCell ref="B38:I38"/>
    <mergeCell ref="C36:E36"/>
    <mergeCell ref="H27:I27"/>
    <mergeCell ref="B76:C76"/>
    <mergeCell ref="H28:I28"/>
    <mergeCell ref="D25:D27"/>
    <mergeCell ref="A28:B28"/>
    <mergeCell ref="C28:D28"/>
    <mergeCell ref="A31:B31"/>
    <mergeCell ref="C31:D31"/>
    <mergeCell ref="A32:B32"/>
    <mergeCell ref="C32:D32"/>
    <mergeCell ref="A33:B33"/>
    <mergeCell ref="C33:D33"/>
    <mergeCell ref="A5:B5"/>
    <mergeCell ref="C13:E13"/>
    <mergeCell ref="I15:J15"/>
    <mergeCell ref="A15:B15"/>
    <mergeCell ref="E15:F15"/>
    <mergeCell ref="D14:F14"/>
    <mergeCell ref="F102:I102"/>
    <mergeCell ref="C6:K6"/>
    <mergeCell ref="C8:K8"/>
    <mergeCell ref="C11:K11"/>
    <mergeCell ref="A13:B13"/>
    <mergeCell ref="C12:F12"/>
    <mergeCell ref="A11:B11"/>
    <mergeCell ref="A12:B12"/>
    <mergeCell ref="A10:B10"/>
    <mergeCell ref="D10:F10"/>
    <mergeCell ref="A34:B34"/>
    <mergeCell ref="C34:E34"/>
    <mergeCell ref="F32:I32"/>
    <mergeCell ref="C29:D29"/>
    <mergeCell ref="A29:B29"/>
    <mergeCell ref="H24:I24"/>
    <mergeCell ref="F33:I33"/>
    <mergeCell ref="F35:I35"/>
    <mergeCell ref="AH154:AN154"/>
    <mergeCell ref="AH130:AN130"/>
    <mergeCell ref="T130:Y130"/>
    <mergeCell ref="Z131:AN131"/>
    <mergeCell ref="R136:S136"/>
    <mergeCell ref="F81:I81"/>
    <mergeCell ref="B83:I83"/>
    <mergeCell ref="B84:C84"/>
    <mergeCell ref="D84:E84"/>
    <mergeCell ref="A90:B90"/>
    <mergeCell ref="F101:I101"/>
    <mergeCell ref="Z154:AG154"/>
    <mergeCell ref="Z130:AG130"/>
    <mergeCell ref="D109:E109"/>
    <mergeCell ref="D85:E85"/>
    <mergeCell ref="B94:C94"/>
    <mergeCell ref="B107:I107"/>
    <mergeCell ref="B108:C108"/>
    <mergeCell ref="D108:E108"/>
    <mergeCell ref="I91:J91"/>
    <mergeCell ref="R142:S142"/>
    <mergeCell ref="B98:D98"/>
    <mergeCell ref="B101:C101"/>
    <mergeCell ref="B100:C100"/>
    <mergeCell ref="B99:C99"/>
    <mergeCell ref="F96:I96"/>
    <mergeCell ref="F95:I95"/>
    <mergeCell ref="A91:B91"/>
    <mergeCell ref="A89:B89"/>
    <mergeCell ref="F78:I78"/>
    <mergeCell ref="F79:I79"/>
    <mergeCell ref="F80:I80"/>
    <mergeCell ref="B96:C96"/>
    <mergeCell ref="F100:I100"/>
    <mergeCell ref="G84:I84"/>
    <mergeCell ref="G108:I108"/>
    <mergeCell ref="R144:S144"/>
    <mergeCell ref="R143:S143"/>
    <mergeCell ref="F75:I75"/>
    <mergeCell ref="F76:I76"/>
    <mergeCell ref="E66:H66"/>
    <mergeCell ref="F57:I57"/>
    <mergeCell ref="F58:I58"/>
    <mergeCell ref="I70:K70"/>
    <mergeCell ref="G61:I61"/>
    <mergeCell ref="R145:S145"/>
    <mergeCell ref="R150:S150"/>
    <mergeCell ref="I48:K48"/>
    <mergeCell ref="F49:I49"/>
    <mergeCell ref="F50:I50"/>
    <mergeCell ref="F51:I51"/>
    <mergeCell ref="F52:I52"/>
    <mergeCell ref="F53:I53"/>
    <mergeCell ref="F54:I54"/>
    <mergeCell ref="F55:I55"/>
    <mergeCell ref="F56:I56"/>
  </mergeCells>
  <phoneticPr fontId="16" type="noConversion"/>
  <conditionalFormatting sqref="C53:D57">
    <cfRule type="expression" dxfId="38" priority="4">
      <formula>$C$58&gt;$J$50</formula>
    </cfRule>
  </conditionalFormatting>
  <conditionalFormatting sqref="D75">
    <cfRule type="cellIs" dxfId="37" priority="10" operator="greaterThan">
      <formula>$J$72</formula>
    </cfRule>
  </conditionalFormatting>
  <conditionalFormatting sqref="D76">
    <cfRule type="cellIs" dxfId="36" priority="53" operator="greaterThan">
      <formula>SUM($J$72:$J$73)-$D$75</formula>
    </cfRule>
  </conditionalFormatting>
  <conditionalFormatting sqref="D99">
    <cfRule type="cellIs" dxfId="35" priority="18" operator="greaterThan">
      <formula>$J$95</formula>
    </cfRule>
  </conditionalFormatting>
  <conditionalFormatting sqref="D100">
    <cfRule type="cellIs" dxfId="34" priority="17" operator="greaterThan">
      <formula>SUM($J$95:$J$96)-$D$99</formula>
    </cfRule>
  </conditionalFormatting>
  <conditionalFormatting sqref="D101">
    <cfRule type="cellIs" dxfId="33" priority="16" operator="greaterThan">
      <formula>SUM($J$95:$J$97)-SUM($D$99:$D$100)</formula>
    </cfRule>
  </conditionalFormatting>
  <dataValidations disablePrompts="1" count="14">
    <dataValidation type="list" allowBlank="1" showInputMessage="1" showErrorMessage="1" sqref="K14" xr:uid="{5DF1BD73-3631-4C26-9335-C4D309166E94}">
      <formula1>$P$131:$P$177</formula1>
    </dataValidation>
    <dataValidation type="list" allowBlank="1" showInputMessage="1" showErrorMessage="1" sqref="C20" xr:uid="{B3E1A115-123C-48B8-86EB-8A165A0E09A4}">
      <formula1>$Q$131:$Q$133</formula1>
    </dataValidation>
    <dataValidation type="list" allowBlank="1" showInputMessage="1" showErrorMessage="1" sqref="C13" xr:uid="{AF95F84B-569A-4EFC-BC6E-2CD70A25CA89}">
      <formula1>$N$131:$N$183</formula1>
    </dataValidation>
    <dataValidation type="list" allowBlank="1" showInputMessage="1" showErrorMessage="1" sqref="C90" xr:uid="{00320B73-F472-489D-AEC8-713563CD757D}">
      <formula1>$Q$135:$Q$141</formula1>
    </dataValidation>
    <dataValidation type="list" allowBlank="1" showInputMessage="1" showErrorMessage="1" sqref="C19 C44 C89 C22 G10 C66 C10 G14:G15 K15" xr:uid="{214B76C0-D352-476E-B1E1-618E8215342C}">
      <formula1>$M$130:$M$131</formula1>
    </dataValidation>
    <dataValidation type="list" allowBlank="1" showInputMessage="1" showErrorMessage="1" sqref="C21 C68 C91 C46" xr:uid="{59E32ED7-2CFE-4FEE-8384-A0E659F8144C}">
      <formula1>$M$132:$M$133</formula1>
    </dataValidation>
    <dataValidation type="list" allowBlank="1" showInputMessage="1" showErrorMessage="1" sqref="I91" xr:uid="{EE4FB47C-54CF-432F-BBFA-6DCC5FBFDD15}">
      <formula1>$M$136:$M$137</formula1>
    </dataValidation>
    <dataValidation type="list" allowBlank="1" showInputMessage="1" showErrorMessage="1" sqref="C34:D34" xr:uid="{2BC089FD-D534-49D6-9AB5-6B8A3E313830}">
      <formula1>$M$138:$M$140</formula1>
    </dataValidation>
    <dataValidation type="list" allowBlank="1" showInputMessage="1" showErrorMessage="1" sqref="C35:E35" xr:uid="{4C654792-7FE2-4611-8127-B29E476B32DF}">
      <formula1>$M$141:$M$142</formula1>
    </dataValidation>
    <dataValidation type="list" allowBlank="1" showInputMessage="1" showErrorMessage="1" sqref="C40 C85 C62 C109" xr:uid="{3481647D-0934-4CAD-A186-BD010C339834}">
      <formula1>$M$143:$M$144</formula1>
    </dataValidation>
    <dataValidation type="list" allowBlank="1" showInputMessage="1" showErrorMessage="1" sqref="C45:E45" xr:uid="{6DDF9465-70E1-41D2-A879-A9C065BBA941}">
      <formula1>$Q$149:$Q$153</formula1>
    </dataValidation>
    <dataValidation type="list" allowBlank="1" showInputMessage="1" showErrorMessage="1" sqref="C67:I67" xr:uid="{3BB30699-3A2F-4EB7-8A6B-97CAFAFFF466}">
      <formula1>$Q$143:$Q$147</formula1>
    </dataValidation>
    <dataValidation type="list" allowBlank="1" showInputMessage="1" showErrorMessage="1" sqref="C23" xr:uid="{B5E66FAA-6CE9-492B-8C64-BC51FF08D1F7}">
      <formula1>$M$138:$M$139</formula1>
    </dataValidation>
    <dataValidation type="list" allowBlank="1" showInputMessage="1" showErrorMessage="1" sqref="D49" xr:uid="{CDD66B0E-53F2-4462-916C-9D0A02B356E2}">
      <formula1>$R$143:$R$144</formula1>
    </dataValidation>
  </dataValidations>
  <hyperlinks>
    <hyperlink ref="A14" r:id="rId1" xr:uid="{D8AE8EC9-C151-490A-B7EC-9A2A5EC5454D}"/>
    <hyperlink ref="H14" r:id="rId2" display="Legislative District:" xr:uid="{75B7E800-45C1-4637-AEBC-07BDE1B31997}"/>
    <hyperlink ref="D14:F14" r:id="rId3" display="Difficult Develop Area:" xr:uid="{BAA76E4B-3B70-41D2-ACDD-6EFA461BFB13}"/>
  </hyperlinks>
  <printOptions horizontalCentered="1"/>
  <pageMargins left="0.25" right="0.25" top="1" bottom="0.25" header="0.3" footer="0.3"/>
  <pageSetup scale="98" fitToHeight="2" orientation="portrait" horizontalDpi="1200" r:id="rId4"/>
  <rowBreaks count="3" manualBreakCount="3">
    <brk id="40" max="16383" man="1"/>
    <brk id="62" max="10" man="1"/>
    <brk id="85" max="10" man="1"/>
  </rowBreaks>
  <legacyDrawing r:id="rId5"/>
  <extLst>
    <ext xmlns:x14="http://schemas.microsoft.com/office/spreadsheetml/2009/9/main" uri="{78C0D931-6437-407d-A8EE-F0AAD7539E65}">
      <x14:conditionalFormattings>
        <x14:conditionalFormatting xmlns:xm="http://schemas.microsoft.com/office/excel/2006/main">
          <x14:cfRule type="cellIs" priority="1" operator="greaterThan" id="{5BC64820-F67B-4B97-A412-EF97C1269370}">
            <xm:f>SUM('Tax Credit Calc'!$H$32:$J$32)</xm:f>
            <x14:dxf>
              <font>
                <b/>
                <i val="0"/>
              </font>
              <fill>
                <patternFill>
                  <bgColor rgb="FFFF0000"/>
                </patternFill>
              </fill>
            </x14:dxf>
          </x14:cfRule>
          <xm:sqref>I19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A5301-7834-4E44-996A-5CCA5A60564F}">
  <dimension ref="A1:K297"/>
  <sheetViews>
    <sheetView zoomScaleNormal="100" workbookViewId="0">
      <selection activeCell="F4" sqref="F4:G4"/>
    </sheetView>
  </sheetViews>
  <sheetFormatPr defaultRowHeight="15" x14ac:dyDescent="0.25"/>
  <cols>
    <col min="3" max="3" width="9.140625" customWidth="1"/>
  </cols>
  <sheetData>
    <row r="1" spans="1:11" ht="18.75" x14ac:dyDescent="0.3">
      <c r="A1" s="733" t="s">
        <v>702</v>
      </c>
      <c r="B1" s="733"/>
      <c r="C1" s="733"/>
      <c r="D1" s="733"/>
      <c r="E1" s="733"/>
      <c r="F1" s="733"/>
      <c r="G1" s="733"/>
      <c r="H1" s="733"/>
      <c r="I1" s="733"/>
      <c r="J1" s="733"/>
      <c r="K1" s="733"/>
    </row>
    <row r="2" spans="1:11" x14ac:dyDescent="0.25">
      <c r="A2" s="791" t="s">
        <v>13</v>
      </c>
      <c r="B2" s="792"/>
      <c r="C2" s="793" t="str">
        <f>IF('Project Summary'!$C$8&lt;1," ",'Project Summary'!$C$8)</f>
        <v xml:space="preserve"> </v>
      </c>
      <c r="D2" s="793"/>
      <c r="E2" s="793"/>
      <c r="F2" s="793"/>
      <c r="G2" s="794"/>
      <c r="H2" s="789" t="s">
        <v>11</v>
      </c>
      <c r="I2" s="790"/>
      <c r="J2" s="787" t="str">
        <f>IF('Project Summary'!$C$5&lt;1," ",'Project Summary'!$C$5)</f>
        <v xml:space="preserve"> </v>
      </c>
      <c r="K2" s="788"/>
    </row>
    <row r="3" spans="1:11" ht="9.9499999999999993" customHeight="1" x14ac:dyDescent="0.25"/>
    <row r="4" spans="1:11" x14ac:dyDescent="0.25">
      <c r="A4" s="786" t="s">
        <v>703</v>
      </c>
      <c r="B4" s="766"/>
      <c r="C4" s="377">
        <v>1</v>
      </c>
      <c r="D4" s="781" t="s">
        <v>1087</v>
      </c>
      <c r="E4" s="781"/>
      <c r="F4" s="780"/>
      <c r="G4" s="780"/>
      <c r="H4" s="184"/>
      <c r="I4" s="487" t="s">
        <v>880</v>
      </c>
      <c r="J4" s="773"/>
      <c r="K4" s="774"/>
    </row>
    <row r="5" spans="1:11" x14ac:dyDescent="0.25">
      <c r="A5" s="707" t="s">
        <v>14</v>
      </c>
      <c r="B5" s="693"/>
      <c r="C5" s="795" t="str">
        <f>IF('Project Summary'!$C$11="","",'Project Summary'!$C$11)</f>
        <v/>
      </c>
      <c r="D5" s="796"/>
      <c r="E5" s="796"/>
      <c r="F5" s="796"/>
      <c r="G5" s="796"/>
      <c r="H5" s="796"/>
      <c r="I5" s="796"/>
      <c r="J5" s="796"/>
      <c r="K5" s="797"/>
    </row>
    <row r="6" spans="1:11" x14ac:dyDescent="0.25">
      <c r="A6" s="707" t="s">
        <v>483</v>
      </c>
      <c r="B6" s="693"/>
      <c r="C6" s="798" t="str">
        <f>IF('Project Summary'!$C$12="","",'Project Summary'!$C$12)</f>
        <v/>
      </c>
      <c r="D6" s="799"/>
      <c r="E6" s="800"/>
      <c r="F6" s="801"/>
      <c r="G6" s="744" t="s">
        <v>484</v>
      </c>
      <c r="H6" s="744"/>
      <c r="I6" s="372" t="s">
        <v>15</v>
      </c>
      <c r="J6" s="309" t="s">
        <v>482</v>
      </c>
      <c r="K6" s="374" t="str">
        <f>IF('Project Summary'!$K$12="","",'Project Summary'!$K$12)</f>
        <v/>
      </c>
    </row>
    <row r="7" spans="1:11" x14ac:dyDescent="0.25">
      <c r="A7" s="707" t="s">
        <v>78</v>
      </c>
      <c r="B7" s="693"/>
      <c r="C7" s="795" t="str">
        <f>IF('Project Summary'!$C$13="","",'Project Summary'!$C$13)</f>
        <v/>
      </c>
      <c r="D7" s="796"/>
      <c r="E7" s="797"/>
      <c r="F7" s="310" t="s">
        <v>134</v>
      </c>
      <c r="G7" s="220" t="str">
        <f>_xlfn.IFNA(VLOOKUP($C7,'Project Summary'!$N$131:$O$183,2,FALSE), "")</f>
        <v/>
      </c>
      <c r="H7" s="107"/>
      <c r="I7" s="311"/>
      <c r="J7" s="217"/>
      <c r="K7" s="180"/>
    </row>
    <row r="8" spans="1:11" x14ac:dyDescent="0.25">
      <c r="A8" s="664" t="s">
        <v>16</v>
      </c>
      <c r="B8" s="665"/>
      <c r="C8" s="373" t="str">
        <f>IF('Project Summary'!$C$14="","",'Project Summary'!$C$14)</f>
        <v/>
      </c>
      <c r="F8" s="164" t="s">
        <v>1045</v>
      </c>
      <c r="G8" s="220" t="str">
        <f>IF('Project Summary'!$G$14="","",'Project Summary'!$G$14)</f>
        <v/>
      </c>
      <c r="H8" s="665" t="s">
        <v>1044</v>
      </c>
      <c r="I8" s="665"/>
      <c r="J8" s="665"/>
      <c r="K8" s="593" t="str">
        <f>IF('Project Summary'!$K$14="","",'Project Summary'!$K$14)</f>
        <v/>
      </c>
    </row>
    <row r="9" spans="1:11" x14ac:dyDescent="0.25">
      <c r="A9" s="775" t="s">
        <v>705</v>
      </c>
      <c r="B9" s="776"/>
      <c r="C9" s="388" t="str">
        <f>IF('Project Summary'!$C$15="","",'Project Summary'!$C$15)</f>
        <v/>
      </c>
      <c r="D9" s="389"/>
      <c r="E9" s="390"/>
      <c r="F9" s="391" t="s">
        <v>706</v>
      </c>
      <c r="G9" s="220" t="str">
        <f>IF('Project Summary'!$G$15="","",'Project Summary'!$G$15)</f>
        <v/>
      </c>
      <c r="H9" s="775" t="s">
        <v>707</v>
      </c>
      <c r="I9" s="762"/>
      <c r="J9" s="776"/>
      <c r="K9" s="220" t="str">
        <f>IF('Project Summary'!$K$15="","",'Project Summary'!$K$15)</f>
        <v/>
      </c>
    </row>
    <row r="10" spans="1:11" ht="9.9499999999999993" customHeight="1" x14ac:dyDescent="0.25"/>
    <row r="11" spans="1:11" x14ac:dyDescent="0.25">
      <c r="A11" s="786" t="s">
        <v>703</v>
      </c>
      <c r="B11" s="766"/>
      <c r="C11" s="377" t="str">
        <f>IF(OR($C12="",$C13="",$C14=""),"",2)</f>
        <v/>
      </c>
      <c r="D11" s="781" t="s">
        <v>1087</v>
      </c>
      <c r="E11" s="781"/>
      <c r="F11" s="780"/>
      <c r="G11" s="780"/>
      <c r="H11" s="383"/>
      <c r="I11" s="487" t="s">
        <v>880</v>
      </c>
      <c r="J11" s="773"/>
      <c r="K11" s="774"/>
    </row>
    <row r="12" spans="1:11" x14ac:dyDescent="0.25">
      <c r="A12" s="707" t="s">
        <v>14</v>
      </c>
      <c r="B12" s="693"/>
      <c r="C12" s="777"/>
      <c r="D12" s="778"/>
      <c r="E12" s="778"/>
      <c r="F12" s="778"/>
      <c r="G12" s="778"/>
      <c r="H12" s="778"/>
      <c r="I12" s="778"/>
      <c r="J12" s="778"/>
      <c r="K12" s="779"/>
    </row>
    <row r="13" spans="1:11" x14ac:dyDescent="0.25">
      <c r="A13" s="707" t="s">
        <v>483</v>
      </c>
      <c r="B13" s="693"/>
      <c r="C13" s="782"/>
      <c r="D13" s="783"/>
      <c r="E13" s="784"/>
      <c r="F13" s="785"/>
      <c r="G13" s="744" t="s">
        <v>484</v>
      </c>
      <c r="H13" s="744"/>
      <c r="I13" s="372" t="str">
        <f>IF(OR($C12="",$C13="",$C14=""),"","ND")</f>
        <v/>
      </c>
      <c r="J13" s="309" t="s">
        <v>482</v>
      </c>
      <c r="K13" s="375"/>
    </row>
    <row r="14" spans="1:11" x14ac:dyDescent="0.25">
      <c r="A14" s="707" t="s">
        <v>78</v>
      </c>
      <c r="B14" s="693"/>
      <c r="C14" s="777"/>
      <c r="D14" s="778"/>
      <c r="E14" s="779"/>
      <c r="F14" s="310" t="s">
        <v>134</v>
      </c>
      <c r="G14" s="220" t="str">
        <f>_xlfn.IFNA(VLOOKUP($C14,'Project Summary'!$N$131:$O$183,2,FALSE), "")</f>
        <v/>
      </c>
      <c r="H14" s="107"/>
      <c r="I14" s="311"/>
      <c r="J14" s="217"/>
      <c r="K14" s="180"/>
    </row>
    <row r="15" spans="1:11" x14ac:dyDescent="0.25">
      <c r="A15" s="802" t="s">
        <v>16</v>
      </c>
      <c r="B15" s="803"/>
      <c r="C15" s="376"/>
      <c r="D15" s="697" t="s">
        <v>1046</v>
      </c>
      <c r="E15" s="698"/>
      <c r="F15" s="699"/>
      <c r="G15" s="386"/>
      <c r="H15" s="802" t="s">
        <v>1044</v>
      </c>
      <c r="I15" s="804"/>
      <c r="J15" s="803"/>
      <c r="K15" s="88"/>
    </row>
    <row r="16" spans="1:11" x14ac:dyDescent="0.25">
      <c r="A16" s="775" t="s">
        <v>705</v>
      </c>
      <c r="B16" s="776"/>
      <c r="C16" s="385"/>
      <c r="D16" s="389"/>
      <c r="E16" s="762" t="s">
        <v>706</v>
      </c>
      <c r="F16" s="776"/>
      <c r="G16" s="386"/>
      <c r="H16" s="775" t="s">
        <v>707</v>
      </c>
      <c r="I16" s="762"/>
      <c r="J16" s="776"/>
      <c r="K16" s="386"/>
    </row>
    <row r="17" spans="1:11" ht="9.9499999999999993" customHeight="1" x14ac:dyDescent="0.25"/>
    <row r="18" spans="1:11" x14ac:dyDescent="0.25">
      <c r="A18" s="786" t="s">
        <v>703</v>
      </c>
      <c r="B18" s="766"/>
      <c r="C18" s="377" t="str">
        <f>IF(OR($C19="",$C20="",$C21=""),"",3)</f>
        <v/>
      </c>
      <c r="D18" s="781" t="s">
        <v>1087</v>
      </c>
      <c r="E18" s="781"/>
      <c r="F18" s="780"/>
      <c r="G18" s="780"/>
      <c r="H18" s="383"/>
      <c r="I18" s="487" t="s">
        <v>880</v>
      </c>
      <c r="J18" s="773"/>
      <c r="K18" s="774"/>
    </row>
    <row r="19" spans="1:11" x14ac:dyDescent="0.25">
      <c r="A19" s="707" t="s">
        <v>14</v>
      </c>
      <c r="B19" s="693"/>
      <c r="C19" s="777"/>
      <c r="D19" s="778"/>
      <c r="E19" s="778"/>
      <c r="F19" s="778"/>
      <c r="G19" s="778"/>
      <c r="H19" s="778"/>
      <c r="I19" s="778"/>
      <c r="J19" s="778"/>
      <c r="K19" s="779"/>
    </row>
    <row r="20" spans="1:11" x14ac:dyDescent="0.25">
      <c r="A20" s="707" t="s">
        <v>483</v>
      </c>
      <c r="B20" s="693"/>
      <c r="C20" s="782"/>
      <c r="D20" s="783"/>
      <c r="E20" s="784"/>
      <c r="F20" s="785"/>
      <c r="G20" s="744" t="s">
        <v>484</v>
      </c>
      <c r="H20" s="744"/>
      <c r="I20" s="372" t="str">
        <f>IF(OR($C19="",$C20="",$C21=""),"","ND")</f>
        <v/>
      </c>
      <c r="J20" s="309" t="s">
        <v>482</v>
      </c>
      <c r="K20" s="375"/>
    </row>
    <row r="21" spans="1:11" x14ac:dyDescent="0.25">
      <c r="A21" s="707" t="s">
        <v>78</v>
      </c>
      <c r="B21" s="693"/>
      <c r="C21" s="777"/>
      <c r="D21" s="778"/>
      <c r="E21" s="779"/>
      <c r="F21" s="310" t="s">
        <v>134</v>
      </c>
      <c r="G21" s="220" t="str">
        <f>_xlfn.IFNA(VLOOKUP($C21,'Project Summary'!$N$131:$O$183,2,FALSE), "")</f>
        <v/>
      </c>
      <c r="H21" s="107"/>
      <c r="I21" s="311"/>
      <c r="J21" s="217"/>
      <c r="K21" s="180"/>
    </row>
    <row r="22" spans="1:11" x14ac:dyDescent="0.25">
      <c r="A22" s="664" t="s">
        <v>16</v>
      </c>
      <c r="B22" s="665"/>
      <c r="C22" s="376"/>
      <c r="D22" s="664" t="s">
        <v>1047</v>
      </c>
      <c r="E22" s="665"/>
      <c r="F22" s="666"/>
      <c r="G22" s="386"/>
      <c r="H22" s="665" t="s">
        <v>1044</v>
      </c>
      <c r="I22" s="665"/>
      <c r="J22" s="665"/>
      <c r="K22" s="88"/>
    </row>
    <row r="23" spans="1:11" x14ac:dyDescent="0.25">
      <c r="A23" s="775" t="s">
        <v>705</v>
      </c>
      <c r="B23" s="776"/>
      <c r="C23" s="385"/>
      <c r="D23" s="389"/>
      <c r="E23" s="762" t="s">
        <v>706</v>
      </c>
      <c r="F23" s="776"/>
      <c r="G23" s="386"/>
      <c r="H23" s="775" t="s">
        <v>707</v>
      </c>
      <c r="I23" s="762"/>
      <c r="J23" s="776"/>
      <c r="K23" s="386"/>
    </row>
    <row r="24" spans="1:11" ht="9.9499999999999993" customHeight="1" x14ac:dyDescent="0.25"/>
    <row r="25" spans="1:11" x14ac:dyDescent="0.25">
      <c r="A25" s="786" t="s">
        <v>703</v>
      </c>
      <c r="B25" s="766"/>
      <c r="C25" s="377" t="str">
        <f>IF(OR($C26="",$C27="",$C28=""),"",4)</f>
        <v/>
      </c>
      <c r="D25" s="781" t="s">
        <v>1087</v>
      </c>
      <c r="E25" s="781"/>
      <c r="F25" s="780"/>
      <c r="G25" s="780"/>
      <c r="H25" s="383"/>
      <c r="I25" s="487" t="s">
        <v>880</v>
      </c>
      <c r="J25" s="773"/>
      <c r="K25" s="774"/>
    </row>
    <row r="26" spans="1:11" x14ac:dyDescent="0.25">
      <c r="A26" s="707" t="s">
        <v>14</v>
      </c>
      <c r="B26" s="693"/>
      <c r="C26" s="777"/>
      <c r="D26" s="778"/>
      <c r="E26" s="778"/>
      <c r="F26" s="778"/>
      <c r="G26" s="778"/>
      <c r="H26" s="778"/>
      <c r="I26" s="778"/>
      <c r="J26" s="778"/>
      <c r="K26" s="779"/>
    </row>
    <row r="27" spans="1:11" x14ac:dyDescent="0.25">
      <c r="A27" s="707" t="s">
        <v>483</v>
      </c>
      <c r="B27" s="693"/>
      <c r="C27" s="782"/>
      <c r="D27" s="783"/>
      <c r="E27" s="784"/>
      <c r="F27" s="785"/>
      <c r="G27" s="744" t="s">
        <v>484</v>
      </c>
      <c r="H27" s="744"/>
      <c r="I27" s="372" t="str">
        <f>IF(OR($C26="",$C27="",$C28=""),"","ND")</f>
        <v/>
      </c>
      <c r="J27" s="309" t="s">
        <v>482</v>
      </c>
      <c r="K27" s="375"/>
    </row>
    <row r="28" spans="1:11" x14ac:dyDescent="0.25">
      <c r="A28" s="707" t="s">
        <v>78</v>
      </c>
      <c r="B28" s="693"/>
      <c r="C28" s="777"/>
      <c r="D28" s="778"/>
      <c r="E28" s="779"/>
      <c r="F28" s="310" t="s">
        <v>134</v>
      </c>
      <c r="G28" s="220" t="str">
        <f>_xlfn.IFNA(VLOOKUP($C28,'Project Summary'!$N$131:$O$183,2,FALSE), "")</f>
        <v/>
      </c>
      <c r="H28" s="107"/>
      <c r="I28" s="311"/>
      <c r="J28" s="217"/>
      <c r="K28" s="180"/>
    </row>
    <row r="29" spans="1:11" x14ac:dyDescent="0.25">
      <c r="A29" s="664" t="s">
        <v>16</v>
      </c>
      <c r="B29" s="665"/>
      <c r="C29" s="376"/>
      <c r="D29" s="664" t="s">
        <v>1047</v>
      </c>
      <c r="E29" s="665"/>
      <c r="F29" s="666"/>
      <c r="G29" s="386"/>
      <c r="H29" s="665" t="s">
        <v>1044</v>
      </c>
      <c r="I29" s="665"/>
      <c r="J29" s="665"/>
      <c r="K29" s="88"/>
    </row>
    <row r="30" spans="1:11" x14ac:dyDescent="0.25">
      <c r="A30" s="775" t="s">
        <v>705</v>
      </c>
      <c r="B30" s="776"/>
      <c r="C30" s="385"/>
      <c r="D30" s="389"/>
      <c r="E30" s="762" t="s">
        <v>706</v>
      </c>
      <c r="F30" s="776"/>
      <c r="G30" s="386"/>
      <c r="H30" s="775" t="s">
        <v>707</v>
      </c>
      <c r="I30" s="762"/>
      <c r="J30" s="776"/>
      <c r="K30" s="386"/>
    </row>
    <row r="31" spans="1:11" ht="9.9499999999999993" customHeight="1" x14ac:dyDescent="0.25"/>
    <row r="32" spans="1:11" x14ac:dyDescent="0.25">
      <c r="A32" s="786" t="s">
        <v>703</v>
      </c>
      <c r="B32" s="766"/>
      <c r="C32" s="377" t="str">
        <f>IF(OR($C33="",$C34="",$C35=""),"",5)</f>
        <v/>
      </c>
      <c r="D32" s="781" t="s">
        <v>1087</v>
      </c>
      <c r="E32" s="781"/>
      <c r="F32" s="780"/>
      <c r="G32" s="780"/>
      <c r="H32" s="383"/>
      <c r="I32" s="487" t="s">
        <v>880</v>
      </c>
      <c r="J32" s="773"/>
      <c r="K32" s="774"/>
    </row>
    <row r="33" spans="1:11" x14ac:dyDescent="0.25">
      <c r="A33" s="707" t="s">
        <v>14</v>
      </c>
      <c r="B33" s="693"/>
      <c r="C33" s="777"/>
      <c r="D33" s="778"/>
      <c r="E33" s="778"/>
      <c r="F33" s="778"/>
      <c r="G33" s="778"/>
      <c r="H33" s="778"/>
      <c r="I33" s="778"/>
      <c r="J33" s="778"/>
      <c r="K33" s="779"/>
    </row>
    <row r="34" spans="1:11" x14ac:dyDescent="0.25">
      <c r="A34" s="707" t="s">
        <v>483</v>
      </c>
      <c r="B34" s="693"/>
      <c r="C34" s="782"/>
      <c r="D34" s="783"/>
      <c r="E34" s="784"/>
      <c r="F34" s="785"/>
      <c r="G34" s="744" t="s">
        <v>484</v>
      </c>
      <c r="H34" s="744"/>
      <c r="I34" s="372" t="str">
        <f>IF(OR($C33="",$C34="",$C35=""),"","ND")</f>
        <v/>
      </c>
      <c r="J34" s="309" t="s">
        <v>482</v>
      </c>
      <c r="K34" s="375"/>
    </row>
    <row r="35" spans="1:11" x14ac:dyDescent="0.25">
      <c r="A35" s="707" t="s">
        <v>78</v>
      </c>
      <c r="B35" s="693"/>
      <c r="C35" s="777"/>
      <c r="D35" s="778"/>
      <c r="E35" s="779"/>
      <c r="F35" s="310" t="s">
        <v>134</v>
      </c>
      <c r="G35" s="220" t="str">
        <f>_xlfn.IFNA(VLOOKUP($C35,'Project Summary'!$N$131:$O$183,2,FALSE), "")</f>
        <v/>
      </c>
      <c r="H35" s="107"/>
      <c r="I35" s="311"/>
      <c r="J35" s="217"/>
      <c r="K35" s="180"/>
    </row>
    <row r="36" spans="1:11" x14ac:dyDescent="0.25">
      <c r="A36" s="664" t="s">
        <v>16</v>
      </c>
      <c r="B36" s="665"/>
      <c r="C36" s="376"/>
      <c r="D36" s="664" t="s">
        <v>1047</v>
      </c>
      <c r="E36" s="665"/>
      <c r="F36" s="666"/>
      <c r="G36" s="386"/>
      <c r="H36" s="665" t="s">
        <v>1044</v>
      </c>
      <c r="I36" s="665"/>
      <c r="J36" s="665"/>
      <c r="K36" s="88"/>
    </row>
    <row r="37" spans="1:11" x14ac:dyDescent="0.25">
      <c r="A37" s="775" t="s">
        <v>705</v>
      </c>
      <c r="B37" s="776"/>
      <c r="C37" s="385"/>
      <c r="D37" s="389"/>
      <c r="E37" s="762" t="s">
        <v>706</v>
      </c>
      <c r="F37" s="776"/>
      <c r="G37" s="386"/>
      <c r="H37" s="775" t="s">
        <v>707</v>
      </c>
      <c r="I37" s="762"/>
      <c r="J37" s="776"/>
      <c r="K37" s="386"/>
    </row>
    <row r="38" spans="1:11" ht="9.9499999999999993" customHeight="1" x14ac:dyDescent="0.25"/>
    <row r="39" spans="1:11" x14ac:dyDescent="0.25">
      <c r="A39" s="786" t="s">
        <v>703</v>
      </c>
      <c r="B39" s="766"/>
      <c r="C39" s="377" t="str">
        <f>IF(OR($C40="",$C41="",$C42=""),"",6)</f>
        <v/>
      </c>
      <c r="D39" s="781" t="s">
        <v>1087</v>
      </c>
      <c r="E39" s="781"/>
      <c r="F39" s="780"/>
      <c r="G39" s="780"/>
      <c r="H39" s="383"/>
      <c r="I39" s="487" t="s">
        <v>880</v>
      </c>
      <c r="J39" s="773"/>
      <c r="K39" s="774"/>
    </row>
    <row r="40" spans="1:11" x14ac:dyDescent="0.25">
      <c r="A40" s="707" t="s">
        <v>14</v>
      </c>
      <c r="B40" s="693"/>
      <c r="C40" s="777"/>
      <c r="D40" s="778"/>
      <c r="E40" s="778"/>
      <c r="F40" s="778"/>
      <c r="G40" s="778"/>
      <c r="H40" s="778"/>
      <c r="I40" s="778"/>
      <c r="J40" s="778"/>
      <c r="K40" s="779"/>
    </row>
    <row r="41" spans="1:11" x14ac:dyDescent="0.25">
      <c r="A41" s="707" t="s">
        <v>483</v>
      </c>
      <c r="B41" s="693"/>
      <c r="C41" s="782"/>
      <c r="D41" s="783"/>
      <c r="E41" s="784"/>
      <c r="F41" s="785"/>
      <c r="G41" s="744" t="s">
        <v>484</v>
      </c>
      <c r="H41" s="744"/>
      <c r="I41" s="372" t="str">
        <f>IF(OR($C40="",$C41="",$C42=""),"","ND")</f>
        <v/>
      </c>
      <c r="J41" s="309" t="s">
        <v>482</v>
      </c>
      <c r="K41" s="375"/>
    </row>
    <row r="42" spans="1:11" x14ac:dyDescent="0.25">
      <c r="A42" s="707" t="s">
        <v>78</v>
      </c>
      <c r="B42" s="693"/>
      <c r="C42" s="777"/>
      <c r="D42" s="778"/>
      <c r="E42" s="779"/>
      <c r="F42" s="310" t="s">
        <v>134</v>
      </c>
      <c r="G42" s="220" t="str">
        <f>_xlfn.IFNA(VLOOKUP($C42,'Project Summary'!$N$131:$O$183,2,FALSE), "")</f>
        <v/>
      </c>
      <c r="H42" s="107"/>
      <c r="I42" s="311"/>
      <c r="J42" s="217"/>
      <c r="K42" s="180"/>
    </row>
    <row r="43" spans="1:11" x14ac:dyDescent="0.25">
      <c r="A43" s="664" t="s">
        <v>16</v>
      </c>
      <c r="B43" s="665"/>
      <c r="C43" s="376"/>
      <c r="D43" s="664" t="s">
        <v>1047</v>
      </c>
      <c r="E43" s="665"/>
      <c r="F43" s="666"/>
      <c r="G43" s="386"/>
      <c r="H43" s="665" t="s">
        <v>1044</v>
      </c>
      <c r="I43" s="665"/>
      <c r="J43" s="665"/>
      <c r="K43" s="88"/>
    </row>
    <row r="44" spans="1:11" x14ac:dyDescent="0.25">
      <c r="A44" s="775" t="s">
        <v>705</v>
      </c>
      <c r="B44" s="776"/>
      <c r="C44" s="385"/>
      <c r="D44" s="389"/>
      <c r="E44" s="762" t="s">
        <v>706</v>
      </c>
      <c r="F44" s="776"/>
      <c r="G44" s="386"/>
      <c r="H44" s="775" t="s">
        <v>707</v>
      </c>
      <c r="I44" s="762"/>
      <c r="J44" s="776"/>
      <c r="K44" s="386"/>
    </row>
    <row r="45" spans="1:11" ht="9.9499999999999993" customHeight="1" x14ac:dyDescent="0.25"/>
    <row r="46" spans="1:11" x14ac:dyDescent="0.25">
      <c r="A46" s="786" t="s">
        <v>703</v>
      </c>
      <c r="B46" s="766"/>
      <c r="C46" s="377" t="str">
        <f>IF(OR($C47="",$C48="",$C49=""),"",7)</f>
        <v/>
      </c>
      <c r="D46" s="781" t="s">
        <v>1087</v>
      </c>
      <c r="E46" s="781"/>
      <c r="F46" s="780"/>
      <c r="G46" s="780"/>
      <c r="H46" s="383"/>
      <c r="I46" s="487" t="s">
        <v>880</v>
      </c>
      <c r="J46" s="773"/>
      <c r="K46" s="774"/>
    </row>
    <row r="47" spans="1:11" x14ac:dyDescent="0.25">
      <c r="A47" s="707" t="s">
        <v>14</v>
      </c>
      <c r="B47" s="693"/>
      <c r="C47" s="777"/>
      <c r="D47" s="778"/>
      <c r="E47" s="778"/>
      <c r="F47" s="778"/>
      <c r="G47" s="778"/>
      <c r="H47" s="778"/>
      <c r="I47" s="778"/>
      <c r="J47" s="778"/>
      <c r="K47" s="779"/>
    </row>
    <row r="48" spans="1:11" x14ac:dyDescent="0.25">
      <c r="A48" s="707" t="s">
        <v>483</v>
      </c>
      <c r="B48" s="693"/>
      <c r="C48" s="782"/>
      <c r="D48" s="783"/>
      <c r="E48" s="784"/>
      <c r="F48" s="785"/>
      <c r="G48" s="744" t="s">
        <v>484</v>
      </c>
      <c r="H48" s="744"/>
      <c r="I48" s="372" t="str">
        <f>IF(OR($C47="",$C48="",$C49=""),"","ND")</f>
        <v/>
      </c>
      <c r="J48" s="309" t="s">
        <v>482</v>
      </c>
      <c r="K48" s="375"/>
    </row>
    <row r="49" spans="1:11" x14ac:dyDescent="0.25">
      <c r="A49" s="707" t="s">
        <v>78</v>
      </c>
      <c r="B49" s="693"/>
      <c r="C49" s="777"/>
      <c r="D49" s="778"/>
      <c r="E49" s="779"/>
      <c r="F49" s="310" t="s">
        <v>134</v>
      </c>
      <c r="G49" s="220" t="str">
        <f>_xlfn.IFNA(VLOOKUP($C49,'Project Summary'!$N$131:$O$183,2,FALSE), "")</f>
        <v/>
      </c>
      <c r="H49" s="107"/>
      <c r="I49" s="311"/>
      <c r="J49" s="217"/>
      <c r="K49" s="180"/>
    </row>
    <row r="50" spans="1:11" x14ac:dyDescent="0.25">
      <c r="A50" s="664" t="s">
        <v>16</v>
      </c>
      <c r="B50" s="665"/>
      <c r="C50" s="376"/>
      <c r="D50" s="664" t="s">
        <v>1047</v>
      </c>
      <c r="E50" s="665"/>
      <c r="F50" s="666"/>
      <c r="G50" s="386"/>
      <c r="H50" s="665" t="s">
        <v>1044</v>
      </c>
      <c r="I50" s="665"/>
      <c r="J50" s="665"/>
      <c r="K50" s="88"/>
    </row>
    <row r="51" spans="1:11" x14ac:dyDescent="0.25">
      <c r="A51" s="775" t="s">
        <v>705</v>
      </c>
      <c r="B51" s="776"/>
      <c r="C51" s="385"/>
      <c r="D51" s="389"/>
      <c r="E51" s="762" t="s">
        <v>706</v>
      </c>
      <c r="F51" s="776"/>
      <c r="G51" s="386"/>
      <c r="H51" s="775" t="s">
        <v>707</v>
      </c>
      <c r="I51" s="762"/>
      <c r="J51" s="776"/>
      <c r="K51" s="386"/>
    </row>
    <row r="52" spans="1:11" ht="9.9499999999999993" customHeight="1" x14ac:dyDescent="0.25"/>
    <row r="53" spans="1:11" x14ac:dyDescent="0.25">
      <c r="A53" s="786" t="s">
        <v>703</v>
      </c>
      <c r="B53" s="766"/>
      <c r="C53" s="377" t="str">
        <f>IF(OR($C54="",$C55="",$C56=""),"",8)</f>
        <v/>
      </c>
      <c r="D53" s="781" t="s">
        <v>1087</v>
      </c>
      <c r="E53" s="781"/>
      <c r="F53" s="780"/>
      <c r="G53" s="780"/>
      <c r="H53" s="383"/>
      <c r="I53" s="487" t="s">
        <v>880</v>
      </c>
      <c r="J53" s="773"/>
      <c r="K53" s="774"/>
    </row>
    <row r="54" spans="1:11" x14ac:dyDescent="0.25">
      <c r="A54" s="707" t="s">
        <v>14</v>
      </c>
      <c r="B54" s="693"/>
      <c r="C54" s="777"/>
      <c r="D54" s="778"/>
      <c r="E54" s="778"/>
      <c r="F54" s="778"/>
      <c r="G54" s="778"/>
      <c r="H54" s="778"/>
      <c r="I54" s="778"/>
      <c r="J54" s="778"/>
      <c r="K54" s="779"/>
    </row>
    <row r="55" spans="1:11" x14ac:dyDescent="0.25">
      <c r="A55" s="707" t="s">
        <v>483</v>
      </c>
      <c r="B55" s="693"/>
      <c r="C55" s="782"/>
      <c r="D55" s="783"/>
      <c r="E55" s="784"/>
      <c r="F55" s="785"/>
      <c r="G55" s="744" t="s">
        <v>484</v>
      </c>
      <c r="H55" s="744"/>
      <c r="I55" s="372" t="str">
        <f>IF(OR($C54="",$C55="",$C56=""),"","ND")</f>
        <v/>
      </c>
      <c r="J55" s="309" t="s">
        <v>482</v>
      </c>
      <c r="K55" s="375"/>
    </row>
    <row r="56" spans="1:11" x14ac:dyDescent="0.25">
      <c r="A56" s="707" t="s">
        <v>78</v>
      </c>
      <c r="B56" s="693"/>
      <c r="C56" s="777"/>
      <c r="D56" s="778"/>
      <c r="E56" s="779"/>
      <c r="F56" s="310" t="s">
        <v>134</v>
      </c>
      <c r="G56" s="220" t="str">
        <f>_xlfn.IFNA(VLOOKUP($C56,'Project Summary'!$N$131:$O$183,2,FALSE), "")</f>
        <v/>
      </c>
      <c r="H56" s="107"/>
      <c r="I56" s="311"/>
      <c r="J56" s="217"/>
      <c r="K56" s="180"/>
    </row>
    <row r="57" spans="1:11" x14ac:dyDescent="0.25">
      <c r="A57" s="664" t="s">
        <v>16</v>
      </c>
      <c r="B57" s="665"/>
      <c r="C57" s="376"/>
      <c r="D57" s="664" t="s">
        <v>1047</v>
      </c>
      <c r="E57" s="665"/>
      <c r="F57" s="666"/>
      <c r="G57" s="386"/>
      <c r="H57" s="665" t="s">
        <v>1044</v>
      </c>
      <c r="I57" s="665"/>
      <c r="J57" s="665"/>
      <c r="K57" s="88"/>
    </row>
    <row r="58" spans="1:11" x14ac:dyDescent="0.25">
      <c r="A58" s="775" t="s">
        <v>705</v>
      </c>
      <c r="B58" s="776"/>
      <c r="C58" s="385"/>
      <c r="D58" s="389"/>
      <c r="E58" s="762" t="s">
        <v>706</v>
      </c>
      <c r="F58" s="776"/>
      <c r="G58" s="386"/>
      <c r="H58" s="775" t="s">
        <v>707</v>
      </c>
      <c r="I58" s="762"/>
      <c r="J58" s="776"/>
      <c r="K58" s="386"/>
    </row>
    <row r="59" spans="1:11" ht="9.9499999999999993" customHeight="1" x14ac:dyDescent="0.25"/>
    <row r="60" spans="1:11" x14ac:dyDescent="0.25">
      <c r="A60" s="786" t="s">
        <v>703</v>
      </c>
      <c r="B60" s="766"/>
      <c r="C60" s="377" t="str">
        <f>IF(OR($C61="",$C62="",$C63=""),"",9)</f>
        <v/>
      </c>
      <c r="D60" s="781" t="s">
        <v>1087</v>
      </c>
      <c r="E60" s="781"/>
      <c r="F60" s="780"/>
      <c r="G60" s="780"/>
      <c r="H60" s="383"/>
      <c r="I60" s="487" t="s">
        <v>880</v>
      </c>
      <c r="J60" s="773"/>
      <c r="K60" s="774"/>
    </row>
    <row r="61" spans="1:11" x14ac:dyDescent="0.25">
      <c r="A61" s="707" t="s">
        <v>14</v>
      </c>
      <c r="B61" s="693"/>
      <c r="C61" s="777"/>
      <c r="D61" s="778"/>
      <c r="E61" s="778"/>
      <c r="F61" s="778"/>
      <c r="G61" s="778"/>
      <c r="H61" s="778"/>
      <c r="I61" s="778"/>
      <c r="J61" s="778"/>
      <c r="K61" s="779"/>
    </row>
    <row r="62" spans="1:11" x14ac:dyDescent="0.25">
      <c r="A62" s="707" t="s">
        <v>483</v>
      </c>
      <c r="B62" s="693"/>
      <c r="C62" s="782"/>
      <c r="D62" s="783"/>
      <c r="E62" s="784"/>
      <c r="F62" s="785"/>
      <c r="G62" s="744" t="s">
        <v>484</v>
      </c>
      <c r="H62" s="744"/>
      <c r="I62" s="372" t="str">
        <f>IF(OR($C61="",$C62="",$C63=""),"","ND")</f>
        <v/>
      </c>
      <c r="J62" s="309" t="s">
        <v>482</v>
      </c>
      <c r="K62" s="375"/>
    </row>
    <row r="63" spans="1:11" x14ac:dyDescent="0.25">
      <c r="A63" s="707" t="s">
        <v>78</v>
      </c>
      <c r="B63" s="693"/>
      <c r="C63" s="777"/>
      <c r="D63" s="778"/>
      <c r="E63" s="779"/>
      <c r="F63" s="310" t="s">
        <v>134</v>
      </c>
      <c r="G63" s="220" t="str">
        <f>_xlfn.IFNA(VLOOKUP($C63,'Project Summary'!$N$131:$O$183,2,FALSE), "")</f>
        <v/>
      </c>
      <c r="H63" s="107"/>
      <c r="I63" s="311"/>
      <c r="J63" s="217"/>
      <c r="K63" s="180"/>
    </row>
    <row r="64" spans="1:11" x14ac:dyDescent="0.25">
      <c r="A64" s="664" t="s">
        <v>16</v>
      </c>
      <c r="B64" s="665"/>
      <c r="C64" s="376"/>
      <c r="D64" s="664" t="s">
        <v>1047</v>
      </c>
      <c r="E64" s="665"/>
      <c r="F64" s="666"/>
      <c r="G64" s="386"/>
      <c r="H64" s="665" t="s">
        <v>1044</v>
      </c>
      <c r="I64" s="665"/>
      <c r="J64" s="665"/>
      <c r="K64" s="88"/>
    </row>
    <row r="65" spans="1:11" x14ac:dyDescent="0.25">
      <c r="A65" s="775" t="s">
        <v>705</v>
      </c>
      <c r="B65" s="776"/>
      <c r="C65" s="385"/>
      <c r="D65" s="389"/>
      <c r="E65" s="762" t="s">
        <v>706</v>
      </c>
      <c r="F65" s="776"/>
      <c r="G65" s="386"/>
      <c r="H65" s="775" t="s">
        <v>707</v>
      </c>
      <c r="I65" s="762"/>
      <c r="J65" s="776"/>
      <c r="K65" s="386"/>
    </row>
    <row r="66" spans="1:11" ht="9.9499999999999993" customHeight="1" x14ac:dyDescent="0.25"/>
    <row r="67" spans="1:11" x14ac:dyDescent="0.25">
      <c r="A67" s="786" t="s">
        <v>703</v>
      </c>
      <c r="B67" s="766"/>
      <c r="C67" s="377" t="str">
        <f>IF(OR($C68="",$C69="",$C70=""),"",10)</f>
        <v/>
      </c>
      <c r="D67" s="781" t="s">
        <v>1087</v>
      </c>
      <c r="E67" s="781"/>
      <c r="F67" s="780"/>
      <c r="G67" s="780"/>
      <c r="H67" s="383"/>
      <c r="I67" s="487" t="s">
        <v>880</v>
      </c>
      <c r="J67" s="773"/>
      <c r="K67" s="774"/>
    </row>
    <row r="68" spans="1:11" x14ac:dyDescent="0.25">
      <c r="A68" s="707" t="s">
        <v>14</v>
      </c>
      <c r="B68" s="693"/>
      <c r="C68" s="777"/>
      <c r="D68" s="778"/>
      <c r="E68" s="778"/>
      <c r="F68" s="778"/>
      <c r="G68" s="778"/>
      <c r="H68" s="778"/>
      <c r="I68" s="778"/>
      <c r="J68" s="778"/>
      <c r="K68" s="779"/>
    </row>
    <row r="69" spans="1:11" x14ac:dyDescent="0.25">
      <c r="A69" s="707" t="s">
        <v>483</v>
      </c>
      <c r="B69" s="693"/>
      <c r="C69" s="782"/>
      <c r="D69" s="783"/>
      <c r="E69" s="784"/>
      <c r="F69" s="785"/>
      <c r="G69" s="744" t="s">
        <v>484</v>
      </c>
      <c r="H69" s="744"/>
      <c r="I69" s="372" t="str">
        <f>IF(OR($C68="",$C69="",$C70=""),"","ND")</f>
        <v/>
      </c>
      <c r="J69" s="309" t="s">
        <v>482</v>
      </c>
      <c r="K69" s="375"/>
    </row>
    <row r="70" spans="1:11" x14ac:dyDescent="0.25">
      <c r="A70" s="707" t="s">
        <v>78</v>
      </c>
      <c r="B70" s="693"/>
      <c r="C70" s="777"/>
      <c r="D70" s="778"/>
      <c r="E70" s="779"/>
      <c r="F70" s="310" t="s">
        <v>134</v>
      </c>
      <c r="G70" s="220" t="str">
        <f>_xlfn.IFNA(VLOOKUP($C70,'Project Summary'!$N$131:$O$183,2,FALSE), "")</f>
        <v/>
      </c>
      <c r="H70" s="107"/>
      <c r="I70" s="311"/>
      <c r="J70" s="217"/>
      <c r="K70" s="180"/>
    </row>
    <row r="71" spans="1:11" x14ac:dyDescent="0.25">
      <c r="A71" s="664" t="s">
        <v>16</v>
      </c>
      <c r="B71" s="665"/>
      <c r="C71" s="376"/>
      <c r="D71" s="664" t="s">
        <v>1047</v>
      </c>
      <c r="E71" s="665"/>
      <c r="F71" s="666"/>
      <c r="G71" s="386"/>
      <c r="H71" s="665" t="s">
        <v>1044</v>
      </c>
      <c r="I71" s="665"/>
      <c r="J71" s="665"/>
      <c r="K71" s="88"/>
    </row>
    <row r="72" spans="1:11" x14ac:dyDescent="0.25">
      <c r="A72" s="775" t="s">
        <v>705</v>
      </c>
      <c r="B72" s="776"/>
      <c r="C72" s="385"/>
      <c r="D72" s="389"/>
      <c r="E72" s="762" t="s">
        <v>706</v>
      </c>
      <c r="F72" s="776"/>
      <c r="G72" s="386"/>
      <c r="H72" s="775" t="s">
        <v>707</v>
      </c>
      <c r="I72" s="762"/>
      <c r="J72" s="776"/>
      <c r="K72" s="386"/>
    </row>
    <row r="73" spans="1:11" ht="9.9499999999999993" customHeight="1" x14ac:dyDescent="0.25"/>
    <row r="74" spans="1:11" x14ac:dyDescent="0.25">
      <c r="A74" s="786" t="s">
        <v>703</v>
      </c>
      <c r="B74" s="766"/>
      <c r="C74" s="377" t="str">
        <f>IF(OR($C75="",$C76="",$C77=""),"",11)</f>
        <v/>
      </c>
      <c r="D74" s="781" t="s">
        <v>1087</v>
      </c>
      <c r="E74" s="781"/>
      <c r="F74" s="780"/>
      <c r="G74" s="780"/>
      <c r="H74" s="383"/>
      <c r="I74" s="487" t="s">
        <v>880</v>
      </c>
      <c r="J74" s="773"/>
      <c r="K74" s="774"/>
    </row>
    <row r="75" spans="1:11" x14ac:dyDescent="0.25">
      <c r="A75" s="707" t="s">
        <v>14</v>
      </c>
      <c r="B75" s="693"/>
      <c r="C75" s="777"/>
      <c r="D75" s="778"/>
      <c r="E75" s="778"/>
      <c r="F75" s="778"/>
      <c r="G75" s="778"/>
      <c r="H75" s="778"/>
      <c r="I75" s="778"/>
      <c r="J75" s="778"/>
      <c r="K75" s="779"/>
    </row>
    <row r="76" spans="1:11" x14ac:dyDescent="0.25">
      <c r="A76" s="707" t="s">
        <v>483</v>
      </c>
      <c r="B76" s="693"/>
      <c r="C76" s="782"/>
      <c r="D76" s="783"/>
      <c r="E76" s="784"/>
      <c r="F76" s="785"/>
      <c r="G76" s="744" t="s">
        <v>484</v>
      </c>
      <c r="H76" s="744"/>
      <c r="I76" s="372" t="str">
        <f>IF(OR($C75="",$C76="",$C77=""),"","ND")</f>
        <v/>
      </c>
      <c r="J76" s="309" t="s">
        <v>482</v>
      </c>
      <c r="K76" s="375"/>
    </row>
    <row r="77" spans="1:11" x14ac:dyDescent="0.25">
      <c r="A77" s="707" t="s">
        <v>78</v>
      </c>
      <c r="B77" s="693"/>
      <c r="C77" s="777"/>
      <c r="D77" s="778"/>
      <c r="E77" s="779"/>
      <c r="F77" s="310" t="s">
        <v>134</v>
      </c>
      <c r="G77" s="220" t="str">
        <f>_xlfn.IFNA(VLOOKUP($C77,'Project Summary'!$N$131:$O$183,2,FALSE), "")</f>
        <v/>
      </c>
      <c r="H77" s="107"/>
      <c r="I77" s="311"/>
      <c r="J77" s="217"/>
      <c r="K77" s="180"/>
    </row>
    <row r="78" spans="1:11" x14ac:dyDescent="0.25">
      <c r="A78" s="664" t="s">
        <v>16</v>
      </c>
      <c r="B78" s="665"/>
      <c r="C78" s="376"/>
      <c r="D78" s="664" t="s">
        <v>1047</v>
      </c>
      <c r="E78" s="665"/>
      <c r="F78" s="666"/>
      <c r="G78" s="386"/>
      <c r="H78" s="665" t="s">
        <v>1044</v>
      </c>
      <c r="I78" s="665"/>
      <c r="J78" s="665"/>
      <c r="K78" s="88"/>
    </row>
    <row r="79" spans="1:11" x14ac:dyDescent="0.25">
      <c r="A79" s="775" t="s">
        <v>705</v>
      </c>
      <c r="B79" s="776"/>
      <c r="C79" s="385"/>
      <c r="D79" s="389"/>
      <c r="E79" s="762" t="s">
        <v>706</v>
      </c>
      <c r="F79" s="776"/>
      <c r="G79" s="386"/>
      <c r="H79" s="775" t="s">
        <v>707</v>
      </c>
      <c r="I79" s="762"/>
      <c r="J79" s="776"/>
      <c r="K79" s="386"/>
    </row>
    <row r="80" spans="1:11" ht="9.9499999999999993" customHeight="1" x14ac:dyDescent="0.25"/>
    <row r="81" spans="1:11" x14ac:dyDescent="0.25">
      <c r="A81" s="786" t="s">
        <v>703</v>
      </c>
      <c r="B81" s="766"/>
      <c r="C81" s="377" t="str">
        <f>IF(OR($C82="",$C83="",$C84=""),"",12)</f>
        <v/>
      </c>
      <c r="D81" s="781" t="s">
        <v>1087</v>
      </c>
      <c r="E81" s="781"/>
      <c r="F81" s="780"/>
      <c r="G81" s="780"/>
      <c r="H81" s="383"/>
      <c r="I81" s="487" t="s">
        <v>880</v>
      </c>
      <c r="J81" s="773"/>
      <c r="K81" s="774"/>
    </row>
    <row r="82" spans="1:11" x14ac:dyDescent="0.25">
      <c r="A82" s="707" t="s">
        <v>14</v>
      </c>
      <c r="B82" s="693"/>
      <c r="C82" s="777"/>
      <c r="D82" s="778"/>
      <c r="E82" s="778"/>
      <c r="F82" s="778"/>
      <c r="G82" s="778"/>
      <c r="H82" s="778"/>
      <c r="I82" s="778"/>
      <c r="J82" s="778"/>
      <c r="K82" s="779"/>
    </row>
    <row r="83" spans="1:11" x14ac:dyDescent="0.25">
      <c r="A83" s="707" t="s">
        <v>483</v>
      </c>
      <c r="B83" s="693"/>
      <c r="C83" s="782"/>
      <c r="D83" s="783"/>
      <c r="E83" s="784"/>
      <c r="F83" s="785"/>
      <c r="G83" s="744" t="s">
        <v>484</v>
      </c>
      <c r="H83" s="744"/>
      <c r="I83" s="372" t="str">
        <f>IF(OR($C82="",$C83="",$C84=""),"","ND")</f>
        <v/>
      </c>
      <c r="J83" s="309" t="s">
        <v>482</v>
      </c>
      <c r="K83" s="375"/>
    </row>
    <row r="84" spans="1:11" x14ac:dyDescent="0.25">
      <c r="A84" s="707" t="s">
        <v>78</v>
      </c>
      <c r="B84" s="693"/>
      <c r="C84" s="777"/>
      <c r="D84" s="778"/>
      <c r="E84" s="779"/>
      <c r="F84" s="310" t="s">
        <v>134</v>
      </c>
      <c r="G84" s="220" t="str">
        <f>_xlfn.IFNA(VLOOKUP($C84,'Project Summary'!$N$131:$O$183,2,FALSE), "")</f>
        <v/>
      </c>
      <c r="H84" s="107"/>
      <c r="I84" s="311"/>
      <c r="J84" s="217"/>
      <c r="K84" s="180"/>
    </row>
    <row r="85" spans="1:11" x14ac:dyDescent="0.25">
      <c r="A85" s="664" t="s">
        <v>16</v>
      </c>
      <c r="B85" s="665"/>
      <c r="C85" s="376"/>
      <c r="D85" s="664" t="s">
        <v>1047</v>
      </c>
      <c r="E85" s="665"/>
      <c r="F85" s="666"/>
      <c r="G85" s="386"/>
      <c r="H85" s="665" t="s">
        <v>1044</v>
      </c>
      <c r="I85" s="665"/>
      <c r="J85" s="665"/>
      <c r="K85" s="88"/>
    </row>
    <row r="86" spans="1:11" x14ac:dyDescent="0.25">
      <c r="A86" s="775" t="s">
        <v>705</v>
      </c>
      <c r="B86" s="776"/>
      <c r="C86" s="385"/>
      <c r="D86" s="389"/>
      <c r="E86" s="762" t="s">
        <v>706</v>
      </c>
      <c r="F86" s="776"/>
      <c r="G86" s="386"/>
      <c r="H86" s="775" t="s">
        <v>707</v>
      </c>
      <c r="I86" s="762"/>
      <c r="J86" s="776"/>
      <c r="K86" s="386"/>
    </row>
    <row r="87" spans="1:11" ht="9.9499999999999993" customHeight="1" x14ac:dyDescent="0.25"/>
    <row r="88" spans="1:11" x14ac:dyDescent="0.25">
      <c r="A88" s="786" t="s">
        <v>703</v>
      </c>
      <c r="B88" s="766"/>
      <c r="C88" s="377" t="str">
        <f>IF(OR($C89="",$C90="",$C91=""),"",13)</f>
        <v/>
      </c>
      <c r="D88" s="781" t="s">
        <v>1087</v>
      </c>
      <c r="E88" s="781"/>
      <c r="F88" s="780"/>
      <c r="G88" s="780"/>
      <c r="H88" s="383"/>
      <c r="I88" s="487" t="s">
        <v>880</v>
      </c>
      <c r="J88" s="773"/>
      <c r="K88" s="774"/>
    </row>
    <row r="89" spans="1:11" x14ac:dyDescent="0.25">
      <c r="A89" s="707" t="s">
        <v>14</v>
      </c>
      <c r="B89" s="693"/>
      <c r="C89" s="777"/>
      <c r="D89" s="778"/>
      <c r="E89" s="778"/>
      <c r="F89" s="778"/>
      <c r="G89" s="778"/>
      <c r="H89" s="778"/>
      <c r="I89" s="778"/>
      <c r="J89" s="778"/>
      <c r="K89" s="779"/>
    </row>
    <row r="90" spans="1:11" x14ac:dyDescent="0.25">
      <c r="A90" s="707" t="s">
        <v>483</v>
      </c>
      <c r="B90" s="693"/>
      <c r="C90" s="782"/>
      <c r="D90" s="783"/>
      <c r="E90" s="784"/>
      <c r="F90" s="785"/>
      <c r="G90" s="744" t="s">
        <v>484</v>
      </c>
      <c r="H90" s="744"/>
      <c r="I90" s="372" t="str">
        <f>IF(OR($C89="",$C90="",$C91=""),"","ND")</f>
        <v/>
      </c>
      <c r="J90" s="309" t="s">
        <v>482</v>
      </c>
      <c r="K90" s="375"/>
    </row>
    <row r="91" spans="1:11" x14ac:dyDescent="0.25">
      <c r="A91" s="707" t="s">
        <v>78</v>
      </c>
      <c r="B91" s="693"/>
      <c r="C91" s="777"/>
      <c r="D91" s="778"/>
      <c r="E91" s="779"/>
      <c r="F91" s="310" t="s">
        <v>134</v>
      </c>
      <c r="G91" s="220" t="str">
        <f>_xlfn.IFNA(VLOOKUP($C91,'Project Summary'!$N$131:$O$183,2,FALSE), "")</f>
        <v/>
      </c>
      <c r="H91" s="107"/>
      <c r="I91" s="311"/>
      <c r="J91" s="217"/>
      <c r="K91" s="180"/>
    </row>
    <row r="92" spans="1:11" x14ac:dyDescent="0.25">
      <c r="A92" s="664" t="s">
        <v>16</v>
      </c>
      <c r="B92" s="665"/>
      <c r="C92" s="376"/>
      <c r="D92" s="664" t="s">
        <v>1047</v>
      </c>
      <c r="E92" s="665"/>
      <c r="F92" s="666"/>
      <c r="G92" s="386"/>
      <c r="H92" s="665" t="s">
        <v>1044</v>
      </c>
      <c r="I92" s="665"/>
      <c r="J92" s="665"/>
      <c r="K92" s="88"/>
    </row>
    <row r="93" spans="1:11" x14ac:dyDescent="0.25">
      <c r="A93" s="775" t="s">
        <v>705</v>
      </c>
      <c r="B93" s="776"/>
      <c r="C93" s="385"/>
      <c r="D93" s="389"/>
      <c r="E93" s="762" t="s">
        <v>706</v>
      </c>
      <c r="F93" s="776"/>
      <c r="G93" s="386"/>
      <c r="H93" s="775" t="s">
        <v>707</v>
      </c>
      <c r="I93" s="762"/>
      <c r="J93" s="776"/>
      <c r="K93" s="386"/>
    </row>
    <row r="94" spans="1:11" ht="9.9499999999999993" customHeight="1" x14ac:dyDescent="0.25"/>
    <row r="95" spans="1:11" x14ac:dyDescent="0.25">
      <c r="A95" s="786" t="s">
        <v>703</v>
      </c>
      <c r="B95" s="766"/>
      <c r="C95" s="377" t="str">
        <f>IF(OR($C96="",$C97="",$C98=""),"",14)</f>
        <v/>
      </c>
      <c r="D95" s="781" t="s">
        <v>1087</v>
      </c>
      <c r="E95" s="781"/>
      <c r="F95" s="780"/>
      <c r="G95" s="780"/>
      <c r="H95" s="383"/>
      <c r="I95" s="487" t="s">
        <v>880</v>
      </c>
      <c r="J95" s="773"/>
      <c r="K95" s="774"/>
    </row>
    <row r="96" spans="1:11" x14ac:dyDescent="0.25">
      <c r="A96" s="707" t="s">
        <v>14</v>
      </c>
      <c r="B96" s="693"/>
      <c r="C96" s="777"/>
      <c r="D96" s="778"/>
      <c r="E96" s="778"/>
      <c r="F96" s="778"/>
      <c r="G96" s="778"/>
      <c r="H96" s="778"/>
      <c r="I96" s="778"/>
      <c r="J96" s="778"/>
      <c r="K96" s="779"/>
    </row>
    <row r="97" spans="1:11" x14ac:dyDescent="0.25">
      <c r="A97" s="707" t="s">
        <v>483</v>
      </c>
      <c r="B97" s="693"/>
      <c r="C97" s="782"/>
      <c r="D97" s="783"/>
      <c r="E97" s="784"/>
      <c r="F97" s="785"/>
      <c r="G97" s="744" t="s">
        <v>484</v>
      </c>
      <c r="H97" s="744"/>
      <c r="I97" s="372" t="str">
        <f>IF(OR($C96="",$C97="",$C98=""),"","ND")</f>
        <v/>
      </c>
      <c r="J97" s="309" t="s">
        <v>482</v>
      </c>
      <c r="K97" s="375"/>
    </row>
    <row r="98" spans="1:11" x14ac:dyDescent="0.25">
      <c r="A98" s="707" t="s">
        <v>78</v>
      </c>
      <c r="B98" s="693"/>
      <c r="C98" s="777"/>
      <c r="D98" s="778"/>
      <c r="E98" s="779"/>
      <c r="F98" s="310" t="s">
        <v>134</v>
      </c>
      <c r="G98" s="220" t="str">
        <f>_xlfn.IFNA(VLOOKUP($C98,'Project Summary'!$N$131:$O$183,2,FALSE), "")</f>
        <v/>
      </c>
      <c r="H98" s="107"/>
      <c r="I98" s="311"/>
      <c r="J98" s="217"/>
      <c r="K98" s="180"/>
    </row>
    <row r="99" spans="1:11" x14ac:dyDescent="0.25">
      <c r="A99" s="664" t="s">
        <v>16</v>
      </c>
      <c r="B99" s="665"/>
      <c r="C99" s="376"/>
      <c r="D99" s="664" t="s">
        <v>1047</v>
      </c>
      <c r="E99" s="665"/>
      <c r="F99" s="666"/>
      <c r="G99" s="386"/>
      <c r="H99" s="665" t="s">
        <v>1044</v>
      </c>
      <c r="I99" s="665"/>
      <c r="J99" s="665"/>
      <c r="K99" s="88"/>
    </row>
    <row r="100" spans="1:11" x14ac:dyDescent="0.25">
      <c r="A100" s="775" t="s">
        <v>705</v>
      </c>
      <c r="B100" s="776"/>
      <c r="C100" s="385"/>
      <c r="D100" s="389"/>
      <c r="E100" s="762" t="s">
        <v>706</v>
      </c>
      <c r="F100" s="776"/>
      <c r="G100" s="386"/>
      <c r="H100" s="775" t="s">
        <v>707</v>
      </c>
      <c r="I100" s="762"/>
      <c r="J100" s="776"/>
      <c r="K100" s="386"/>
    </row>
    <row r="101" spans="1:11" ht="9.9499999999999993" customHeight="1" x14ac:dyDescent="0.25"/>
    <row r="102" spans="1:11" x14ac:dyDescent="0.25">
      <c r="A102" s="786" t="s">
        <v>703</v>
      </c>
      <c r="B102" s="766"/>
      <c r="C102" s="377" t="str">
        <f>IF(OR($C103="",$C104="",$C105=""),"",15)</f>
        <v/>
      </c>
      <c r="D102" s="781" t="s">
        <v>1087</v>
      </c>
      <c r="E102" s="781"/>
      <c r="F102" s="780"/>
      <c r="G102" s="780"/>
      <c r="H102" s="383"/>
      <c r="I102" s="487" t="s">
        <v>880</v>
      </c>
      <c r="J102" s="773"/>
      <c r="K102" s="774"/>
    </row>
    <row r="103" spans="1:11" x14ac:dyDescent="0.25">
      <c r="A103" s="707" t="s">
        <v>14</v>
      </c>
      <c r="B103" s="693"/>
      <c r="C103" s="777"/>
      <c r="D103" s="778"/>
      <c r="E103" s="778"/>
      <c r="F103" s="778"/>
      <c r="G103" s="778"/>
      <c r="H103" s="778"/>
      <c r="I103" s="778"/>
      <c r="J103" s="778"/>
      <c r="K103" s="779"/>
    </row>
    <row r="104" spans="1:11" x14ac:dyDescent="0.25">
      <c r="A104" s="707" t="s">
        <v>483</v>
      </c>
      <c r="B104" s="693"/>
      <c r="C104" s="782"/>
      <c r="D104" s="783"/>
      <c r="E104" s="784"/>
      <c r="F104" s="785"/>
      <c r="G104" s="744" t="s">
        <v>484</v>
      </c>
      <c r="H104" s="744"/>
      <c r="I104" s="372" t="str">
        <f>IF(OR($C103="",$C104="",$C105=""),"","ND")</f>
        <v/>
      </c>
      <c r="J104" s="309" t="s">
        <v>482</v>
      </c>
      <c r="K104" s="375"/>
    </row>
    <row r="105" spans="1:11" x14ac:dyDescent="0.25">
      <c r="A105" s="707" t="s">
        <v>78</v>
      </c>
      <c r="B105" s="693"/>
      <c r="C105" s="777"/>
      <c r="D105" s="778"/>
      <c r="E105" s="779"/>
      <c r="F105" s="310" t="s">
        <v>134</v>
      </c>
      <c r="G105" s="220" t="str">
        <f>_xlfn.IFNA(VLOOKUP($C105,'Project Summary'!$N$131:$O$183,2,FALSE), "")</f>
        <v/>
      </c>
      <c r="H105" s="107"/>
      <c r="I105" s="311"/>
      <c r="J105" s="217"/>
      <c r="K105" s="180"/>
    </row>
    <row r="106" spans="1:11" x14ac:dyDescent="0.25">
      <c r="A106" s="664" t="s">
        <v>16</v>
      </c>
      <c r="B106" s="665"/>
      <c r="C106" s="376"/>
      <c r="D106" s="664" t="s">
        <v>1047</v>
      </c>
      <c r="E106" s="665"/>
      <c r="F106" s="666"/>
      <c r="G106" s="386"/>
      <c r="H106" s="665" t="s">
        <v>1044</v>
      </c>
      <c r="I106" s="665"/>
      <c r="J106" s="665"/>
      <c r="K106" s="88"/>
    </row>
    <row r="107" spans="1:11" x14ac:dyDescent="0.25">
      <c r="A107" s="775" t="s">
        <v>705</v>
      </c>
      <c r="B107" s="776"/>
      <c r="C107" s="385"/>
      <c r="D107" s="389"/>
      <c r="E107" s="762" t="s">
        <v>706</v>
      </c>
      <c r="F107" s="776"/>
      <c r="G107" s="386"/>
      <c r="H107" s="775" t="s">
        <v>707</v>
      </c>
      <c r="I107" s="762"/>
      <c r="J107" s="776"/>
      <c r="K107" s="386"/>
    </row>
    <row r="108" spans="1:11" ht="9.9499999999999993" customHeight="1" x14ac:dyDescent="0.25"/>
    <row r="109" spans="1:11" x14ac:dyDescent="0.25">
      <c r="A109" s="786" t="s">
        <v>703</v>
      </c>
      <c r="B109" s="766"/>
      <c r="C109" s="377" t="str">
        <f>IF(OR($C110="",$C111="",$C112=""),"",16)</f>
        <v/>
      </c>
      <c r="D109" s="781" t="s">
        <v>1087</v>
      </c>
      <c r="E109" s="781"/>
      <c r="F109" s="780"/>
      <c r="G109" s="780"/>
      <c r="H109" s="383"/>
      <c r="I109" s="487" t="s">
        <v>880</v>
      </c>
      <c r="J109" s="773"/>
      <c r="K109" s="774"/>
    </row>
    <row r="110" spans="1:11" x14ac:dyDescent="0.25">
      <c r="A110" s="707" t="s">
        <v>14</v>
      </c>
      <c r="B110" s="693"/>
      <c r="C110" s="777"/>
      <c r="D110" s="778"/>
      <c r="E110" s="778"/>
      <c r="F110" s="778"/>
      <c r="G110" s="778"/>
      <c r="H110" s="778"/>
      <c r="I110" s="778"/>
      <c r="J110" s="778"/>
      <c r="K110" s="779"/>
    </row>
    <row r="111" spans="1:11" x14ac:dyDescent="0.25">
      <c r="A111" s="707" t="s">
        <v>483</v>
      </c>
      <c r="B111" s="693"/>
      <c r="C111" s="782"/>
      <c r="D111" s="783"/>
      <c r="E111" s="784"/>
      <c r="F111" s="785"/>
      <c r="G111" s="744" t="s">
        <v>484</v>
      </c>
      <c r="H111" s="744"/>
      <c r="I111" s="372" t="str">
        <f>IF(OR($C110="",$C111="",$C112=""),"","ND")</f>
        <v/>
      </c>
      <c r="J111" s="309" t="s">
        <v>482</v>
      </c>
      <c r="K111" s="375"/>
    </row>
    <row r="112" spans="1:11" x14ac:dyDescent="0.25">
      <c r="A112" s="707" t="s">
        <v>78</v>
      </c>
      <c r="B112" s="693"/>
      <c r="C112" s="777"/>
      <c r="D112" s="778"/>
      <c r="E112" s="779"/>
      <c r="F112" s="310" t="s">
        <v>134</v>
      </c>
      <c r="G112" s="220" t="str">
        <f>_xlfn.IFNA(VLOOKUP($C112,'Project Summary'!$N$131:$O$183,2,FALSE), "")</f>
        <v/>
      </c>
      <c r="H112" s="107"/>
      <c r="I112" s="311"/>
      <c r="J112" s="217"/>
      <c r="K112" s="180"/>
    </row>
    <row r="113" spans="1:11" x14ac:dyDescent="0.25">
      <c r="A113" s="664" t="s">
        <v>16</v>
      </c>
      <c r="B113" s="665"/>
      <c r="C113" s="376"/>
      <c r="D113" s="664" t="s">
        <v>1047</v>
      </c>
      <c r="E113" s="665"/>
      <c r="F113" s="666"/>
      <c r="G113" s="386"/>
      <c r="H113" s="665" t="s">
        <v>1044</v>
      </c>
      <c r="I113" s="665"/>
      <c r="J113" s="665"/>
      <c r="K113" s="88"/>
    </row>
    <row r="114" spans="1:11" x14ac:dyDescent="0.25">
      <c r="A114" s="775" t="s">
        <v>705</v>
      </c>
      <c r="B114" s="776"/>
      <c r="C114" s="385"/>
      <c r="D114" s="389"/>
      <c r="E114" s="762" t="s">
        <v>706</v>
      </c>
      <c r="F114" s="776"/>
      <c r="G114" s="386"/>
      <c r="H114" s="775" t="s">
        <v>707</v>
      </c>
      <c r="I114" s="762"/>
      <c r="J114" s="776"/>
      <c r="K114" s="386"/>
    </row>
    <row r="115" spans="1:11" ht="9.9499999999999993" customHeight="1" x14ac:dyDescent="0.25"/>
    <row r="116" spans="1:11" x14ac:dyDescent="0.25">
      <c r="A116" s="786" t="s">
        <v>703</v>
      </c>
      <c r="B116" s="766"/>
      <c r="C116" s="377" t="str">
        <f>IF(OR($C117="",$C118="",$C119=""),"",17)</f>
        <v/>
      </c>
      <c r="D116" s="781" t="s">
        <v>1087</v>
      </c>
      <c r="E116" s="781"/>
      <c r="F116" s="780"/>
      <c r="G116" s="780"/>
      <c r="H116" s="383"/>
      <c r="I116" s="487" t="s">
        <v>880</v>
      </c>
      <c r="J116" s="773"/>
      <c r="K116" s="774"/>
    </row>
    <row r="117" spans="1:11" x14ac:dyDescent="0.25">
      <c r="A117" s="707" t="s">
        <v>14</v>
      </c>
      <c r="B117" s="693"/>
      <c r="C117" s="777"/>
      <c r="D117" s="778"/>
      <c r="E117" s="778"/>
      <c r="F117" s="778"/>
      <c r="G117" s="778"/>
      <c r="H117" s="778"/>
      <c r="I117" s="778"/>
      <c r="J117" s="778"/>
      <c r="K117" s="779"/>
    </row>
    <row r="118" spans="1:11" x14ac:dyDescent="0.25">
      <c r="A118" s="707" t="s">
        <v>483</v>
      </c>
      <c r="B118" s="693"/>
      <c r="C118" s="782"/>
      <c r="D118" s="783"/>
      <c r="E118" s="784"/>
      <c r="F118" s="785"/>
      <c r="G118" s="744" t="s">
        <v>484</v>
      </c>
      <c r="H118" s="744"/>
      <c r="I118" s="372" t="str">
        <f>IF(OR($C117="",$C118="",$C119=""),"","ND")</f>
        <v/>
      </c>
      <c r="J118" s="309" t="s">
        <v>482</v>
      </c>
      <c r="K118" s="375"/>
    </row>
    <row r="119" spans="1:11" x14ac:dyDescent="0.25">
      <c r="A119" s="707" t="s">
        <v>78</v>
      </c>
      <c r="B119" s="693"/>
      <c r="C119" s="777"/>
      <c r="D119" s="778"/>
      <c r="E119" s="779"/>
      <c r="F119" s="310" t="s">
        <v>134</v>
      </c>
      <c r="G119" s="220" t="str">
        <f>_xlfn.IFNA(VLOOKUP($C119,'Project Summary'!$N$131:$O$183,2,FALSE), "")</f>
        <v/>
      </c>
      <c r="H119" s="107"/>
      <c r="I119" s="311"/>
      <c r="J119" s="217"/>
      <c r="K119" s="180"/>
    </row>
    <row r="120" spans="1:11" x14ac:dyDescent="0.25">
      <c r="A120" s="664" t="s">
        <v>16</v>
      </c>
      <c r="B120" s="665"/>
      <c r="C120" s="376"/>
      <c r="D120" s="664" t="s">
        <v>1047</v>
      </c>
      <c r="E120" s="665"/>
      <c r="F120" s="666"/>
      <c r="G120" s="386"/>
      <c r="H120" s="665" t="s">
        <v>1044</v>
      </c>
      <c r="I120" s="665"/>
      <c r="J120" s="665"/>
      <c r="K120" s="88"/>
    </row>
    <row r="121" spans="1:11" x14ac:dyDescent="0.25">
      <c r="A121" s="775" t="s">
        <v>705</v>
      </c>
      <c r="B121" s="776"/>
      <c r="C121" s="385"/>
      <c r="D121" s="389"/>
      <c r="E121" s="762" t="s">
        <v>706</v>
      </c>
      <c r="F121" s="776"/>
      <c r="G121" s="386"/>
      <c r="H121" s="775" t="s">
        <v>707</v>
      </c>
      <c r="I121" s="762"/>
      <c r="J121" s="776"/>
      <c r="K121" s="386"/>
    </row>
    <row r="122" spans="1:11" ht="9.9499999999999993" customHeight="1" x14ac:dyDescent="0.25"/>
    <row r="123" spans="1:11" x14ac:dyDescent="0.25">
      <c r="A123" s="786" t="s">
        <v>703</v>
      </c>
      <c r="B123" s="766"/>
      <c r="C123" s="377" t="str">
        <f>IF(OR($C124="",$C125="",$C126=""),"",18)</f>
        <v/>
      </c>
      <c r="D123" s="781" t="s">
        <v>1087</v>
      </c>
      <c r="E123" s="781"/>
      <c r="F123" s="780"/>
      <c r="G123" s="780"/>
      <c r="H123" s="383"/>
      <c r="I123" s="487" t="s">
        <v>880</v>
      </c>
      <c r="J123" s="773"/>
      <c r="K123" s="774"/>
    </row>
    <row r="124" spans="1:11" x14ac:dyDescent="0.25">
      <c r="A124" s="707" t="s">
        <v>14</v>
      </c>
      <c r="B124" s="693"/>
      <c r="C124" s="777"/>
      <c r="D124" s="778"/>
      <c r="E124" s="778"/>
      <c r="F124" s="778"/>
      <c r="G124" s="778"/>
      <c r="H124" s="778"/>
      <c r="I124" s="778"/>
      <c r="J124" s="778"/>
      <c r="K124" s="779"/>
    </row>
    <row r="125" spans="1:11" x14ac:dyDescent="0.25">
      <c r="A125" s="707" t="s">
        <v>483</v>
      </c>
      <c r="B125" s="693"/>
      <c r="C125" s="782"/>
      <c r="D125" s="783"/>
      <c r="E125" s="784"/>
      <c r="F125" s="785"/>
      <c r="G125" s="744" t="s">
        <v>484</v>
      </c>
      <c r="H125" s="744"/>
      <c r="I125" s="372" t="str">
        <f>IF(OR($C124="",$C125="",$C126=""),"","ND")</f>
        <v/>
      </c>
      <c r="J125" s="309" t="s">
        <v>482</v>
      </c>
      <c r="K125" s="375"/>
    </row>
    <row r="126" spans="1:11" x14ac:dyDescent="0.25">
      <c r="A126" s="707" t="s">
        <v>78</v>
      </c>
      <c r="B126" s="693"/>
      <c r="C126" s="777"/>
      <c r="D126" s="778"/>
      <c r="E126" s="779"/>
      <c r="F126" s="310" t="s">
        <v>134</v>
      </c>
      <c r="G126" s="220" t="str">
        <f>_xlfn.IFNA(VLOOKUP($C126,'Project Summary'!$N$131:$O$183,2,FALSE), "")</f>
        <v/>
      </c>
      <c r="H126" s="107"/>
      <c r="I126" s="311"/>
      <c r="J126" s="217"/>
      <c r="K126" s="180"/>
    </row>
    <row r="127" spans="1:11" x14ac:dyDescent="0.25">
      <c r="A127" s="664" t="s">
        <v>16</v>
      </c>
      <c r="B127" s="665"/>
      <c r="C127" s="376"/>
      <c r="D127" s="664" t="s">
        <v>1047</v>
      </c>
      <c r="E127" s="665"/>
      <c r="F127" s="666"/>
      <c r="G127" s="386"/>
      <c r="H127" s="665" t="s">
        <v>1044</v>
      </c>
      <c r="I127" s="665"/>
      <c r="J127" s="665"/>
      <c r="K127" s="88"/>
    </row>
    <row r="128" spans="1:11" x14ac:dyDescent="0.25">
      <c r="A128" s="775" t="s">
        <v>705</v>
      </c>
      <c r="B128" s="776"/>
      <c r="C128" s="385"/>
      <c r="D128" s="389"/>
      <c r="E128" s="762" t="s">
        <v>706</v>
      </c>
      <c r="F128" s="776"/>
      <c r="G128" s="386"/>
      <c r="H128" s="775" t="s">
        <v>707</v>
      </c>
      <c r="I128" s="762"/>
      <c r="J128" s="776"/>
      <c r="K128" s="386"/>
    </row>
    <row r="129" spans="1:11" ht="9.9499999999999993" customHeight="1" x14ac:dyDescent="0.25"/>
    <row r="130" spans="1:11" x14ac:dyDescent="0.25">
      <c r="A130" s="786" t="s">
        <v>703</v>
      </c>
      <c r="B130" s="766"/>
      <c r="C130" s="377" t="str">
        <f>IF(OR($C131="",$C132="",$C133=""),"",19)</f>
        <v/>
      </c>
      <c r="D130" s="781" t="s">
        <v>1087</v>
      </c>
      <c r="E130" s="781"/>
      <c r="F130" s="780"/>
      <c r="G130" s="780"/>
      <c r="H130" s="383"/>
      <c r="I130" s="487" t="s">
        <v>880</v>
      </c>
      <c r="J130" s="773"/>
      <c r="K130" s="774"/>
    </row>
    <row r="131" spans="1:11" x14ac:dyDescent="0.25">
      <c r="A131" s="707" t="s">
        <v>14</v>
      </c>
      <c r="B131" s="693"/>
      <c r="C131" s="777"/>
      <c r="D131" s="778"/>
      <c r="E131" s="778"/>
      <c r="F131" s="778"/>
      <c r="G131" s="778"/>
      <c r="H131" s="778"/>
      <c r="I131" s="778"/>
      <c r="J131" s="778"/>
      <c r="K131" s="779"/>
    </row>
    <row r="132" spans="1:11" x14ac:dyDescent="0.25">
      <c r="A132" s="707" t="s">
        <v>483</v>
      </c>
      <c r="B132" s="693"/>
      <c r="C132" s="782"/>
      <c r="D132" s="783"/>
      <c r="E132" s="784"/>
      <c r="F132" s="785"/>
      <c r="G132" s="744" t="s">
        <v>484</v>
      </c>
      <c r="H132" s="744"/>
      <c r="I132" s="372" t="str">
        <f>IF(OR($C131="",$C132="",$C133=""),"","ND")</f>
        <v/>
      </c>
      <c r="J132" s="309" t="s">
        <v>482</v>
      </c>
      <c r="K132" s="375"/>
    </row>
    <row r="133" spans="1:11" x14ac:dyDescent="0.25">
      <c r="A133" s="707" t="s">
        <v>78</v>
      </c>
      <c r="B133" s="693"/>
      <c r="C133" s="777"/>
      <c r="D133" s="778"/>
      <c r="E133" s="779"/>
      <c r="F133" s="310" t="s">
        <v>134</v>
      </c>
      <c r="G133" s="220" t="str">
        <f>_xlfn.IFNA(VLOOKUP($C133,'Project Summary'!$N$131:$O$183,2,FALSE), "")</f>
        <v/>
      </c>
      <c r="H133" s="107"/>
      <c r="I133" s="311"/>
      <c r="J133" s="217"/>
      <c r="K133" s="180"/>
    </row>
    <row r="134" spans="1:11" x14ac:dyDescent="0.25">
      <c r="A134" s="664" t="s">
        <v>16</v>
      </c>
      <c r="B134" s="665"/>
      <c r="C134" s="376"/>
      <c r="D134" s="664" t="s">
        <v>1047</v>
      </c>
      <c r="E134" s="665"/>
      <c r="F134" s="666"/>
      <c r="G134" s="386"/>
      <c r="H134" s="665" t="s">
        <v>1044</v>
      </c>
      <c r="I134" s="665"/>
      <c r="J134" s="665"/>
      <c r="K134" s="88"/>
    </row>
    <row r="135" spans="1:11" x14ac:dyDescent="0.25">
      <c r="A135" s="775" t="s">
        <v>705</v>
      </c>
      <c r="B135" s="776"/>
      <c r="C135" s="385"/>
      <c r="D135" s="389"/>
      <c r="E135" s="762" t="s">
        <v>706</v>
      </c>
      <c r="F135" s="776"/>
      <c r="G135" s="386"/>
      <c r="H135" s="775" t="s">
        <v>707</v>
      </c>
      <c r="I135" s="762"/>
      <c r="J135" s="776"/>
      <c r="K135" s="386"/>
    </row>
    <row r="136" spans="1:11" ht="9.9499999999999993" customHeight="1" x14ac:dyDescent="0.25"/>
    <row r="137" spans="1:11" x14ac:dyDescent="0.25">
      <c r="A137" s="786" t="s">
        <v>703</v>
      </c>
      <c r="B137" s="766"/>
      <c r="C137" s="377" t="str">
        <f>IF(OR($C138="",$C139="",$C140=""),"",20)</f>
        <v/>
      </c>
      <c r="D137" s="781" t="s">
        <v>1087</v>
      </c>
      <c r="E137" s="781"/>
      <c r="F137" s="780"/>
      <c r="G137" s="780"/>
      <c r="H137" s="383"/>
      <c r="I137" s="487" t="s">
        <v>880</v>
      </c>
      <c r="J137" s="773"/>
      <c r="K137" s="774"/>
    </row>
    <row r="138" spans="1:11" x14ac:dyDescent="0.25">
      <c r="A138" s="707" t="s">
        <v>14</v>
      </c>
      <c r="B138" s="693"/>
      <c r="C138" s="777"/>
      <c r="D138" s="778"/>
      <c r="E138" s="778"/>
      <c r="F138" s="778"/>
      <c r="G138" s="778"/>
      <c r="H138" s="778"/>
      <c r="I138" s="778"/>
      <c r="J138" s="778"/>
      <c r="K138" s="779"/>
    </row>
    <row r="139" spans="1:11" x14ac:dyDescent="0.25">
      <c r="A139" s="707" t="s">
        <v>483</v>
      </c>
      <c r="B139" s="693"/>
      <c r="C139" s="782"/>
      <c r="D139" s="783"/>
      <c r="E139" s="784"/>
      <c r="F139" s="785"/>
      <c r="G139" s="744" t="s">
        <v>484</v>
      </c>
      <c r="H139" s="744"/>
      <c r="I139" s="372" t="str">
        <f>IF(OR($C138="",$C139="",$C140=""),"","ND")</f>
        <v/>
      </c>
      <c r="J139" s="309" t="s">
        <v>482</v>
      </c>
      <c r="K139" s="375"/>
    </row>
    <row r="140" spans="1:11" x14ac:dyDescent="0.25">
      <c r="A140" s="707" t="s">
        <v>78</v>
      </c>
      <c r="B140" s="693"/>
      <c r="C140" s="777"/>
      <c r="D140" s="778"/>
      <c r="E140" s="779"/>
      <c r="F140" s="310" t="s">
        <v>134</v>
      </c>
      <c r="G140" s="220" t="str">
        <f>_xlfn.IFNA(VLOOKUP($C140,'Project Summary'!$N$131:$O$183,2,FALSE), "")</f>
        <v/>
      </c>
      <c r="H140" s="107"/>
      <c r="I140" s="311"/>
      <c r="J140" s="217"/>
      <c r="K140" s="180"/>
    </row>
    <row r="141" spans="1:11" x14ac:dyDescent="0.25">
      <c r="A141" s="664" t="s">
        <v>16</v>
      </c>
      <c r="B141" s="665"/>
      <c r="C141" s="376"/>
      <c r="D141" s="664" t="s">
        <v>1047</v>
      </c>
      <c r="E141" s="665"/>
      <c r="F141" s="666"/>
      <c r="G141" s="386"/>
      <c r="H141" s="665" t="s">
        <v>1044</v>
      </c>
      <c r="I141" s="665"/>
      <c r="J141" s="665"/>
      <c r="K141" s="88"/>
    </row>
    <row r="142" spans="1:11" x14ac:dyDescent="0.25">
      <c r="A142" s="775" t="s">
        <v>705</v>
      </c>
      <c r="B142" s="776"/>
      <c r="C142" s="385"/>
      <c r="D142" s="389"/>
      <c r="E142" s="762" t="s">
        <v>706</v>
      </c>
      <c r="F142" s="776"/>
      <c r="G142" s="386"/>
      <c r="H142" s="775" t="s">
        <v>707</v>
      </c>
      <c r="I142" s="762"/>
      <c r="J142" s="776"/>
      <c r="K142" s="386"/>
    </row>
    <row r="143" spans="1:11" ht="9.9499999999999993" customHeight="1" x14ac:dyDescent="0.25"/>
    <row r="144" spans="1:11" x14ac:dyDescent="0.25">
      <c r="A144" s="786" t="s">
        <v>703</v>
      </c>
      <c r="B144" s="766"/>
      <c r="C144" s="377" t="str">
        <f>IF(OR($C145="",$C146="",$C147=""),"",21)</f>
        <v/>
      </c>
      <c r="D144" s="781" t="s">
        <v>1087</v>
      </c>
      <c r="E144" s="781"/>
      <c r="F144" s="780"/>
      <c r="G144" s="780"/>
      <c r="H144" s="383"/>
      <c r="I144" s="487" t="s">
        <v>880</v>
      </c>
      <c r="J144" s="773"/>
      <c r="K144" s="774"/>
    </row>
    <row r="145" spans="1:11" x14ac:dyDescent="0.25">
      <c r="A145" s="707" t="s">
        <v>14</v>
      </c>
      <c r="B145" s="693"/>
      <c r="C145" s="777"/>
      <c r="D145" s="778"/>
      <c r="E145" s="778"/>
      <c r="F145" s="778"/>
      <c r="G145" s="778"/>
      <c r="H145" s="778"/>
      <c r="I145" s="778"/>
      <c r="J145" s="778"/>
      <c r="K145" s="779"/>
    </row>
    <row r="146" spans="1:11" x14ac:dyDescent="0.25">
      <c r="A146" s="707" t="s">
        <v>483</v>
      </c>
      <c r="B146" s="693"/>
      <c r="C146" s="782"/>
      <c r="D146" s="783"/>
      <c r="E146" s="784"/>
      <c r="F146" s="785"/>
      <c r="G146" s="744" t="s">
        <v>484</v>
      </c>
      <c r="H146" s="744"/>
      <c r="I146" s="372" t="str">
        <f>IF(OR($C145="",$C146="",$C147=""),"","ND")</f>
        <v/>
      </c>
      <c r="J146" s="309" t="s">
        <v>482</v>
      </c>
      <c r="K146" s="375"/>
    </row>
    <row r="147" spans="1:11" x14ac:dyDescent="0.25">
      <c r="A147" s="707" t="s">
        <v>78</v>
      </c>
      <c r="B147" s="693"/>
      <c r="C147" s="777"/>
      <c r="D147" s="778"/>
      <c r="E147" s="779"/>
      <c r="F147" s="310" t="s">
        <v>134</v>
      </c>
      <c r="G147" s="220" t="str">
        <f>_xlfn.IFNA(VLOOKUP($C147,'Project Summary'!$N$131:$O$183,2,FALSE), "")</f>
        <v/>
      </c>
      <c r="H147" s="107"/>
      <c r="I147" s="311"/>
      <c r="J147" s="217"/>
      <c r="K147" s="180"/>
    </row>
    <row r="148" spans="1:11" x14ac:dyDescent="0.25">
      <c r="A148" s="664" t="s">
        <v>16</v>
      </c>
      <c r="B148" s="665"/>
      <c r="C148" s="376"/>
      <c r="D148" s="664" t="s">
        <v>1047</v>
      </c>
      <c r="E148" s="665"/>
      <c r="F148" s="666"/>
      <c r="G148" s="386"/>
      <c r="H148" s="665" t="s">
        <v>1044</v>
      </c>
      <c r="I148" s="665"/>
      <c r="J148" s="665"/>
      <c r="K148" s="88"/>
    </row>
    <row r="149" spans="1:11" x14ac:dyDescent="0.25">
      <c r="A149" s="775" t="s">
        <v>705</v>
      </c>
      <c r="B149" s="776"/>
      <c r="C149" s="385"/>
      <c r="D149" s="389"/>
      <c r="E149" s="762" t="s">
        <v>706</v>
      </c>
      <c r="F149" s="776"/>
      <c r="G149" s="386"/>
      <c r="H149" s="775" t="s">
        <v>707</v>
      </c>
      <c r="I149" s="762"/>
      <c r="J149" s="776"/>
      <c r="K149" s="386"/>
    </row>
    <row r="150" spans="1:11" ht="9.9499999999999993" customHeight="1" x14ac:dyDescent="0.25"/>
    <row r="151" spans="1:11" x14ac:dyDescent="0.25">
      <c r="A151" s="786" t="s">
        <v>703</v>
      </c>
      <c r="B151" s="766"/>
      <c r="C151" s="377" t="str">
        <f>IF(OR($C152="",$C153="",$C154=""),"",22)</f>
        <v/>
      </c>
      <c r="D151" s="781" t="s">
        <v>1087</v>
      </c>
      <c r="E151" s="781"/>
      <c r="F151" s="780"/>
      <c r="G151" s="780"/>
      <c r="H151" s="383"/>
      <c r="I151" s="487" t="s">
        <v>880</v>
      </c>
      <c r="J151" s="773"/>
      <c r="K151" s="774"/>
    </row>
    <row r="152" spans="1:11" x14ac:dyDescent="0.25">
      <c r="A152" s="707" t="s">
        <v>14</v>
      </c>
      <c r="B152" s="693"/>
      <c r="C152" s="777"/>
      <c r="D152" s="778"/>
      <c r="E152" s="778"/>
      <c r="F152" s="778"/>
      <c r="G152" s="778"/>
      <c r="H152" s="778"/>
      <c r="I152" s="778"/>
      <c r="J152" s="778"/>
      <c r="K152" s="779"/>
    </row>
    <row r="153" spans="1:11" x14ac:dyDescent="0.25">
      <c r="A153" s="707" t="s">
        <v>483</v>
      </c>
      <c r="B153" s="693"/>
      <c r="C153" s="782"/>
      <c r="D153" s="783"/>
      <c r="E153" s="784"/>
      <c r="F153" s="785"/>
      <c r="G153" s="744" t="s">
        <v>484</v>
      </c>
      <c r="H153" s="744"/>
      <c r="I153" s="372" t="str">
        <f>IF(OR($C152="",$C153="",$C154=""),"","ND")</f>
        <v/>
      </c>
      <c r="J153" s="309" t="s">
        <v>482</v>
      </c>
      <c r="K153" s="375"/>
    </row>
    <row r="154" spans="1:11" x14ac:dyDescent="0.25">
      <c r="A154" s="707" t="s">
        <v>78</v>
      </c>
      <c r="B154" s="693"/>
      <c r="C154" s="777"/>
      <c r="D154" s="778"/>
      <c r="E154" s="779"/>
      <c r="F154" s="310" t="s">
        <v>134</v>
      </c>
      <c r="G154" s="220" t="str">
        <f>_xlfn.IFNA(VLOOKUP($C154,'Project Summary'!$N$131:$O$183,2,FALSE), "")</f>
        <v/>
      </c>
      <c r="H154" s="107"/>
      <c r="I154" s="311"/>
      <c r="J154" s="217"/>
      <c r="K154" s="180"/>
    </row>
    <row r="155" spans="1:11" x14ac:dyDescent="0.25">
      <c r="A155" s="664" t="s">
        <v>16</v>
      </c>
      <c r="B155" s="665"/>
      <c r="C155" s="376"/>
      <c r="D155" s="664" t="s">
        <v>1047</v>
      </c>
      <c r="E155" s="665"/>
      <c r="F155" s="666"/>
      <c r="G155" s="386"/>
      <c r="H155" s="665" t="s">
        <v>1044</v>
      </c>
      <c r="I155" s="665"/>
      <c r="J155" s="665"/>
      <c r="K155" s="88"/>
    </row>
    <row r="156" spans="1:11" x14ac:dyDescent="0.25">
      <c r="A156" s="775" t="s">
        <v>705</v>
      </c>
      <c r="B156" s="776"/>
      <c r="C156" s="385"/>
      <c r="D156" s="389"/>
      <c r="E156" s="762" t="s">
        <v>706</v>
      </c>
      <c r="F156" s="776"/>
      <c r="G156" s="386"/>
      <c r="H156" s="775" t="s">
        <v>707</v>
      </c>
      <c r="I156" s="762"/>
      <c r="J156" s="776"/>
      <c r="K156" s="386"/>
    </row>
    <row r="157" spans="1:11" ht="9.9499999999999993" customHeight="1" x14ac:dyDescent="0.25"/>
    <row r="158" spans="1:11" x14ac:dyDescent="0.25">
      <c r="A158" s="786" t="s">
        <v>703</v>
      </c>
      <c r="B158" s="766"/>
      <c r="C158" s="377" t="str">
        <f>IF(OR($C159="",$C160="",$C161=""),"",23)</f>
        <v/>
      </c>
      <c r="D158" s="781" t="s">
        <v>1087</v>
      </c>
      <c r="E158" s="781"/>
      <c r="F158" s="780"/>
      <c r="G158" s="780"/>
      <c r="H158" s="383"/>
      <c r="I158" s="487" t="s">
        <v>880</v>
      </c>
      <c r="J158" s="773"/>
      <c r="K158" s="774"/>
    </row>
    <row r="159" spans="1:11" x14ac:dyDescent="0.25">
      <c r="A159" s="707" t="s">
        <v>14</v>
      </c>
      <c r="B159" s="693"/>
      <c r="C159" s="777"/>
      <c r="D159" s="778"/>
      <c r="E159" s="778"/>
      <c r="F159" s="778"/>
      <c r="G159" s="778"/>
      <c r="H159" s="778"/>
      <c r="I159" s="778"/>
      <c r="J159" s="778"/>
      <c r="K159" s="779"/>
    </row>
    <row r="160" spans="1:11" x14ac:dyDescent="0.25">
      <c r="A160" s="707" t="s">
        <v>483</v>
      </c>
      <c r="B160" s="693"/>
      <c r="C160" s="782"/>
      <c r="D160" s="783"/>
      <c r="E160" s="784"/>
      <c r="F160" s="785"/>
      <c r="G160" s="744" t="s">
        <v>484</v>
      </c>
      <c r="H160" s="744"/>
      <c r="I160" s="372" t="str">
        <f>IF(OR($C159="",$C160="",$C161=""),"","ND")</f>
        <v/>
      </c>
      <c r="J160" s="309" t="s">
        <v>482</v>
      </c>
      <c r="K160" s="375"/>
    </row>
    <row r="161" spans="1:11" x14ac:dyDescent="0.25">
      <c r="A161" s="707" t="s">
        <v>78</v>
      </c>
      <c r="B161" s="693"/>
      <c r="C161" s="777"/>
      <c r="D161" s="778"/>
      <c r="E161" s="779"/>
      <c r="F161" s="310" t="s">
        <v>134</v>
      </c>
      <c r="G161" s="220" t="str">
        <f>_xlfn.IFNA(VLOOKUP($C161,'Project Summary'!$N$131:$O$183,2,FALSE), "")</f>
        <v/>
      </c>
      <c r="H161" s="107"/>
      <c r="I161" s="311"/>
      <c r="J161" s="217"/>
      <c r="K161" s="180"/>
    </row>
    <row r="162" spans="1:11" x14ac:dyDescent="0.25">
      <c r="A162" s="664" t="s">
        <v>16</v>
      </c>
      <c r="B162" s="665"/>
      <c r="C162" s="376"/>
      <c r="D162" s="664" t="s">
        <v>1047</v>
      </c>
      <c r="E162" s="665"/>
      <c r="F162" s="666"/>
      <c r="G162" s="386"/>
      <c r="H162" s="665" t="s">
        <v>1044</v>
      </c>
      <c r="I162" s="665"/>
      <c r="J162" s="665"/>
      <c r="K162" s="88"/>
    </row>
    <row r="163" spans="1:11" x14ac:dyDescent="0.25">
      <c r="A163" s="775" t="s">
        <v>705</v>
      </c>
      <c r="B163" s="776"/>
      <c r="C163" s="385"/>
      <c r="D163" s="389"/>
      <c r="E163" s="762" t="s">
        <v>706</v>
      </c>
      <c r="F163" s="776"/>
      <c r="G163" s="386"/>
      <c r="H163" s="775" t="s">
        <v>707</v>
      </c>
      <c r="I163" s="762"/>
      <c r="J163" s="776"/>
      <c r="K163" s="386"/>
    </row>
    <row r="164" spans="1:11" ht="9.9499999999999993" customHeight="1" x14ac:dyDescent="0.25"/>
    <row r="165" spans="1:11" x14ac:dyDescent="0.25">
      <c r="A165" s="786" t="s">
        <v>703</v>
      </c>
      <c r="B165" s="766"/>
      <c r="C165" s="377" t="str">
        <f>IF(OR($C166="",$C167="",$C168=""),"",24)</f>
        <v/>
      </c>
      <c r="D165" s="781" t="s">
        <v>1087</v>
      </c>
      <c r="E165" s="781"/>
      <c r="F165" s="780"/>
      <c r="G165" s="780"/>
      <c r="H165" s="383"/>
      <c r="I165" s="487" t="s">
        <v>880</v>
      </c>
      <c r="J165" s="773"/>
      <c r="K165" s="774"/>
    </row>
    <row r="166" spans="1:11" x14ac:dyDescent="0.25">
      <c r="A166" s="707" t="s">
        <v>14</v>
      </c>
      <c r="B166" s="693"/>
      <c r="C166" s="777"/>
      <c r="D166" s="778"/>
      <c r="E166" s="778"/>
      <c r="F166" s="778"/>
      <c r="G166" s="778"/>
      <c r="H166" s="778"/>
      <c r="I166" s="778"/>
      <c r="J166" s="778"/>
      <c r="K166" s="779"/>
    </row>
    <row r="167" spans="1:11" x14ac:dyDescent="0.25">
      <c r="A167" s="707" t="s">
        <v>483</v>
      </c>
      <c r="B167" s="693"/>
      <c r="C167" s="782"/>
      <c r="D167" s="783"/>
      <c r="E167" s="784"/>
      <c r="F167" s="785"/>
      <c r="G167" s="744" t="s">
        <v>484</v>
      </c>
      <c r="H167" s="744"/>
      <c r="I167" s="372" t="str">
        <f>IF(OR($C166="",$C167="",$C168=""),"","ND")</f>
        <v/>
      </c>
      <c r="J167" s="309" t="s">
        <v>482</v>
      </c>
      <c r="K167" s="375"/>
    </row>
    <row r="168" spans="1:11" x14ac:dyDescent="0.25">
      <c r="A168" s="707" t="s">
        <v>78</v>
      </c>
      <c r="B168" s="693"/>
      <c r="C168" s="777"/>
      <c r="D168" s="778"/>
      <c r="E168" s="779"/>
      <c r="F168" s="310" t="s">
        <v>134</v>
      </c>
      <c r="G168" s="220" t="str">
        <f>_xlfn.IFNA(VLOOKUP($C168,'Project Summary'!$N$131:$O$183,2,FALSE), "")</f>
        <v/>
      </c>
      <c r="H168" s="107"/>
      <c r="I168" s="311"/>
      <c r="J168" s="217"/>
      <c r="K168" s="180"/>
    </row>
    <row r="169" spans="1:11" x14ac:dyDescent="0.25">
      <c r="A169" s="664" t="s">
        <v>16</v>
      </c>
      <c r="B169" s="665"/>
      <c r="C169" s="376"/>
      <c r="D169" s="664" t="s">
        <v>1047</v>
      </c>
      <c r="E169" s="665"/>
      <c r="F169" s="666"/>
      <c r="G169" s="386"/>
      <c r="H169" s="665" t="s">
        <v>1044</v>
      </c>
      <c r="I169" s="665"/>
      <c r="J169" s="665"/>
      <c r="K169" s="88"/>
    </row>
    <row r="170" spans="1:11" x14ac:dyDescent="0.25">
      <c r="A170" s="775" t="s">
        <v>705</v>
      </c>
      <c r="B170" s="776"/>
      <c r="C170" s="385"/>
      <c r="D170" s="389"/>
      <c r="E170" s="762" t="s">
        <v>706</v>
      </c>
      <c r="F170" s="776"/>
      <c r="G170" s="386"/>
      <c r="H170" s="775" t="s">
        <v>707</v>
      </c>
      <c r="I170" s="762"/>
      <c r="J170" s="776"/>
      <c r="K170" s="386"/>
    </row>
    <row r="171" spans="1:11" ht="9.9499999999999993" customHeight="1" x14ac:dyDescent="0.25"/>
    <row r="172" spans="1:11" x14ac:dyDescent="0.25">
      <c r="A172" s="786" t="s">
        <v>703</v>
      </c>
      <c r="B172" s="766"/>
      <c r="C172" s="377" t="str">
        <f>IF(OR($C173="",$C174="",$C175=""),"",25)</f>
        <v/>
      </c>
      <c r="D172" s="781" t="s">
        <v>1087</v>
      </c>
      <c r="E172" s="781"/>
      <c r="F172" s="780"/>
      <c r="G172" s="780"/>
      <c r="H172" s="383"/>
      <c r="I172" s="487" t="s">
        <v>880</v>
      </c>
      <c r="J172" s="773"/>
      <c r="K172" s="774"/>
    </row>
    <row r="173" spans="1:11" x14ac:dyDescent="0.25">
      <c r="A173" s="707" t="s">
        <v>14</v>
      </c>
      <c r="B173" s="693"/>
      <c r="C173" s="777"/>
      <c r="D173" s="778"/>
      <c r="E173" s="778"/>
      <c r="F173" s="778"/>
      <c r="G173" s="778"/>
      <c r="H173" s="778"/>
      <c r="I173" s="778"/>
      <c r="J173" s="778"/>
      <c r="K173" s="779"/>
    </row>
    <row r="174" spans="1:11" x14ac:dyDescent="0.25">
      <c r="A174" s="707" t="s">
        <v>483</v>
      </c>
      <c r="B174" s="693"/>
      <c r="C174" s="782"/>
      <c r="D174" s="783"/>
      <c r="E174" s="784"/>
      <c r="F174" s="785"/>
      <c r="G174" s="744" t="s">
        <v>484</v>
      </c>
      <c r="H174" s="744"/>
      <c r="I174" s="372" t="str">
        <f>IF(OR($C173="",$C174="",$C175=""),"","ND")</f>
        <v/>
      </c>
      <c r="J174" s="309" t="s">
        <v>482</v>
      </c>
      <c r="K174" s="375"/>
    </row>
    <row r="175" spans="1:11" x14ac:dyDescent="0.25">
      <c r="A175" s="707" t="s">
        <v>78</v>
      </c>
      <c r="B175" s="693"/>
      <c r="C175" s="777"/>
      <c r="D175" s="778"/>
      <c r="E175" s="779"/>
      <c r="F175" s="310" t="s">
        <v>134</v>
      </c>
      <c r="G175" s="220" t="str">
        <f>_xlfn.IFNA(VLOOKUP($C175,'Project Summary'!$N$131:$O$183,2,FALSE), "")</f>
        <v/>
      </c>
      <c r="H175" s="107"/>
      <c r="I175" s="311"/>
      <c r="J175" s="217"/>
      <c r="K175" s="180"/>
    </row>
    <row r="176" spans="1:11" x14ac:dyDescent="0.25">
      <c r="A176" s="664" t="s">
        <v>16</v>
      </c>
      <c r="B176" s="665"/>
      <c r="C176" s="376"/>
      <c r="D176" s="664" t="s">
        <v>1047</v>
      </c>
      <c r="E176" s="665"/>
      <c r="F176" s="666"/>
      <c r="G176" s="386"/>
      <c r="H176" s="665" t="s">
        <v>1044</v>
      </c>
      <c r="I176" s="665"/>
      <c r="J176" s="665"/>
      <c r="K176" s="88"/>
    </row>
    <row r="177" spans="1:11" x14ac:dyDescent="0.25">
      <c r="A177" s="775" t="s">
        <v>705</v>
      </c>
      <c r="B177" s="776"/>
      <c r="C177" s="385"/>
      <c r="D177" s="389"/>
      <c r="E177" s="762" t="s">
        <v>706</v>
      </c>
      <c r="F177" s="776"/>
      <c r="G177" s="386"/>
      <c r="H177" s="775" t="s">
        <v>707</v>
      </c>
      <c r="I177" s="762"/>
      <c r="J177" s="776"/>
      <c r="K177" s="386"/>
    </row>
    <row r="178" spans="1:11" ht="9.9499999999999993" customHeight="1" x14ac:dyDescent="0.25"/>
    <row r="179" spans="1:11" x14ac:dyDescent="0.25">
      <c r="A179" s="786" t="s">
        <v>703</v>
      </c>
      <c r="B179" s="766"/>
      <c r="C179" s="377" t="str">
        <f>IF(OR($C180="",$C181="",$C182=""),"",26)</f>
        <v/>
      </c>
      <c r="D179" s="781" t="s">
        <v>1087</v>
      </c>
      <c r="E179" s="781"/>
      <c r="F179" s="780"/>
      <c r="G179" s="780"/>
      <c r="H179" s="383"/>
      <c r="I179" s="487" t="s">
        <v>880</v>
      </c>
      <c r="J179" s="773"/>
      <c r="K179" s="774"/>
    </row>
    <row r="180" spans="1:11" x14ac:dyDescent="0.25">
      <c r="A180" s="707" t="s">
        <v>14</v>
      </c>
      <c r="B180" s="693"/>
      <c r="C180" s="777"/>
      <c r="D180" s="778"/>
      <c r="E180" s="778"/>
      <c r="F180" s="778"/>
      <c r="G180" s="778"/>
      <c r="H180" s="778"/>
      <c r="I180" s="778"/>
      <c r="J180" s="778"/>
      <c r="K180" s="779"/>
    </row>
    <row r="181" spans="1:11" x14ac:dyDescent="0.25">
      <c r="A181" s="707" t="s">
        <v>483</v>
      </c>
      <c r="B181" s="693"/>
      <c r="C181" s="782"/>
      <c r="D181" s="783"/>
      <c r="E181" s="784"/>
      <c r="F181" s="785"/>
      <c r="G181" s="744" t="s">
        <v>484</v>
      </c>
      <c r="H181" s="744"/>
      <c r="I181" s="372" t="str">
        <f>IF(OR($C180="",$C181="",$C182=""),"","ND")</f>
        <v/>
      </c>
      <c r="J181" s="309" t="s">
        <v>482</v>
      </c>
      <c r="K181" s="375"/>
    </row>
    <row r="182" spans="1:11" x14ac:dyDescent="0.25">
      <c r="A182" s="707" t="s">
        <v>78</v>
      </c>
      <c r="B182" s="693"/>
      <c r="C182" s="777"/>
      <c r="D182" s="778"/>
      <c r="E182" s="779"/>
      <c r="F182" s="310" t="s">
        <v>134</v>
      </c>
      <c r="G182" s="220" t="str">
        <f>_xlfn.IFNA(VLOOKUP($C182,'Project Summary'!$N$131:$O$183,2,FALSE), "")</f>
        <v/>
      </c>
      <c r="H182" s="107"/>
      <c r="I182" s="311"/>
      <c r="J182" s="217"/>
      <c r="K182" s="180"/>
    </row>
    <row r="183" spans="1:11" x14ac:dyDescent="0.25">
      <c r="A183" s="664" t="s">
        <v>16</v>
      </c>
      <c r="B183" s="665"/>
      <c r="C183" s="376"/>
      <c r="D183" s="664" t="s">
        <v>1047</v>
      </c>
      <c r="E183" s="665"/>
      <c r="F183" s="666"/>
      <c r="G183" s="386"/>
      <c r="H183" s="665" t="s">
        <v>1044</v>
      </c>
      <c r="I183" s="665"/>
      <c r="J183" s="665"/>
      <c r="K183" s="88"/>
    </row>
    <row r="184" spans="1:11" x14ac:dyDescent="0.25">
      <c r="A184" s="775" t="s">
        <v>705</v>
      </c>
      <c r="B184" s="776"/>
      <c r="C184" s="385"/>
      <c r="D184" s="389"/>
      <c r="E184" s="762" t="s">
        <v>706</v>
      </c>
      <c r="F184" s="776"/>
      <c r="G184" s="386"/>
      <c r="H184" s="775" t="s">
        <v>707</v>
      </c>
      <c r="I184" s="762"/>
      <c r="J184" s="776"/>
      <c r="K184" s="386"/>
    </row>
    <row r="185" spans="1:11" ht="9.9499999999999993" customHeight="1" x14ac:dyDescent="0.25"/>
    <row r="186" spans="1:11" x14ac:dyDescent="0.25">
      <c r="A186" s="786" t="s">
        <v>703</v>
      </c>
      <c r="B186" s="766"/>
      <c r="C186" s="377" t="str">
        <f>IF(OR($C187="",$C188="",$C189=""),"",27)</f>
        <v/>
      </c>
      <c r="D186" s="781" t="s">
        <v>1087</v>
      </c>
      <c r="E186" s="781"/>
      <c r="F186" s="780"/>
      <c r="G186" s="780"/>
      <c r="H186" s="383"/>
      <c r="I186" s="487" t="s">
        <v>880</v>
      </c>
      <c r="J186" s="773"/>
      <c r="K186" s="774"/>
    </row>
    <row r="187" spans="1:11" x14ac:dyDescent="0.25">
      <c r="A187" s="707" t="s">
        <v>14</v>
      </c>
      <c r="B187" s="693"/>
      <c r="C187" s="777"/>
      <c r="D187" s="778"/>
      <c r="E187" s="778"/>
      <c r="F187" s="778"/>
      <c r="G187" s="778"/>
      <c r="H187" s="778"/>
      <c r="I187" s="778"/>
      <c r="J187" s="778"/>
      <c r="K187" s="779"/>
    </row>
    <row r="188" spans="1:11" x14ac:dyDescent="0.25">
      <c r="A188" s="707" t="s">
        <v>483</v>
      </c>
      <c r="B188" s="693"/>
      <c r="C188" s="782"/>
      <c r="D188" s="783"/>
      <c r="E188" s="784"/>
      <c r="F188" s="785"/>
      <c r="G188" s="744" t="s">
        <v>484</v>
      </c>
      <c r="H188" s="744"/>
      <c r="I188" s="372" t="str">
        <f>IF(OR($C187="",$C188="",$C189=""),"","ND")</f>
        <v/>
      </c>
      <c r="J188" s="309" t="s">
        <v>482</v>
      </c>
      <c r="K188" s="375"/>
    </row>
    <row r="189" spans="1:11" x14ac:dyDescent="0.25">
      <c r="A189" s="707" t="s">
        <v>78</v>
      </c>
      <c r="B189" s="693"/>
      <c r="C189" s="777"/>
      <c r="D189" s="778"/>
      <c r="E189" s="779"/>
      <c r="F189" s="310" t="s">
        <v>134</v>
      </c>
      <c r="G189" s="220" t="str">
        <f>_xlfn.IFNA(VLOOKUP($C189,'Project Summary'!$N$131:$O$183,2,FALSE), "")</f>
        <v/>
      </c>
      <c r="H189" s="107"/>
      <c r="I189" s="311"/>
      <c r="J189" s="217"/>
      <c r="K189" s="180"/>
    </row>
    <row r="190" spans="1:11" x14ac:dyDescent="0.25">
      <c r="A190" s="664" t="s">
        <v>16</v>
      </c>
      <c r="B190" s="665"/>
      <c r="C190" s="376"/>
      <c r="D190" s="664" t="s">
        <v>1047</v>
      </c>
      <c r="E190" s="665"/>
      <c r="F190" s="666"/>
      <c r="G190" s="386"/>
      <c r="H190" s="665" t="s">
        <v>1044</v>
      </c>
      <c r="I190" s="665"/>
      <c r="J190" s="665"/>
      <c r="K190" s="88"/>
    </row>
    <row r="191" spans="1:11" x14ac:dyDescent="0.25">
      <c r="A191" s="775" t="s">
        <v>705</v>
      </c>
      <c r="B191" s="776"/>
      <c r="C191" s="385"/>
      <c r="D191" s="389"/>
      <c r="E191" s="762" t="s">
        <v>706</v>
      </c>
      <c r="F191" s="776"/>
      <c r="G191" s="386"/>
      <c r="H191" s="775" t="s">
        <v>707</v>
      </c>
      <c r="I191" s="762"/>
      <c r="J191" s="776"/>
      <c r="K191" s="386"/>
    </row>
    <row r="192" spans="1:11" ht="9.9499999999999993" customHeight="1" x14ac:dyDescent="0.25"/>
    <row r="193" spans="1:11" x14ac:dyDescent="0.25">
      <c r="A193" s="786" t="s">
        <v>703</v>
      </c>
      <c r="B193" s="766"/>
      <c r="C193" s="377" t="str">
        <f>IF(OR($C194="",$C195="",$C196=""),"",28)</f>
        <v/>
      </c>
      <c r="D193" s="781" t="s">
        <v>1087</v>
      </c>
      <c r="E193" s="781"/>
      <c r="F193" s="780"/>
      <c r="G193" s="780"/>
      <c r="H193" s="383"/>
      <c r="I193" s="487" t="s">
        <v>880</v>
      </c>
      <c r="J193" s="773"/>
      <c r="K193" s="774"/>
    </row>
    <row r="194" spans="1:11" x14ac:dyDescent="0.25">
      <c r="A194" s="707" t="s">
        <v>14</v>
      </c>
      <c r="B194" s="693"/>
      <c r="C194" s="777"/>
      <c r="D194" s="778"/>
      <c r="E194" s="778"/>
      <c r="F194" s="778"/>
      <c r="G194" s="778"/>
      <c r="H194" s="778"/>
      <c r="I194" s="778"/>
      <c r="J194" s="778"/>
      <c r="K194" s="779"/>
    </row>
    <row r="195" spans="1:11" x14ac:dyDescent="0.25">
      <c r="A195" s="707" t="s">
        <v>483</v>
      </c>
      <c r="B195" s="693"/>
      <c r="C195" s="782"/>
      <c r="D195" s="783"/>
      <c r="E195" s="784"/>
      <c r="F195" s="785"/>
      <c r="G195" s="744" t="s">
        <v>484</v>
      </c>
      <c r="H195" s="744"/>
      <c r="I195" s="372" t="str">
        <f>IF(OR($C194="",$C195="",$C196=""),"","ND")</f>
        <v/>
      </c>
      <c r="J195" s="309" t="s">
        <v>482</v>
      </c>
      <c r="K195" s="375"/>
    </row>
    <row r="196" spans="1:11" x14ac:dyDescent="0.25">
      <c r="A196" s="707" t="s">
        <v>78</v>
      </c>
      <c r="B196" s="693"/>
      <c r="C196" s="777"/>
      <c r="D196" s="778"/>
      <c r="E196" s="779"/>
      <c r="F196" s="310" t="s">
        <v>134</v>
      </c>
      <c r="G196" s="220" t="str">
        <f>_xlfn.IFNA(VLOOKUP($C196,'Project Summary'!$N$131:$O$183,2,FALSE), "")</f>
        <v/>
      </c>
      <c r="H196" s="107"/>
      <c r="I196" s="311"/>
      <c r="J196" s="217"/>
      <c r="K196" s="180"/>
    </row>
    <row r="197" spans="1:11" x14ac:dyDescent="0.25">
      <c r="A197" s="664" t="s">
        <v>16</v>
      </c>
      <c r="B197" s="665"/>
      <c r="C197" s="376"/>
      <c r="D197" s="664" t="s">
        <v>1047</v>
      </c>
      <c r="E197" s="665"/>
      <c r="F197" s="666"/>
      <c r="G197" s="386"/>
      <c r="H197" s="665" t="s">
        <v>1044</v>
      </c>
      <c r="I197" s="665"/>
      <c r="J197" s="665"/>
      <c r="K197" s="88"/>
    </row>
    <row r="198" spans="1:11" x14ac:dyDescent="0.25">
      <c r="A198" s="775" t="s">
        <v>705</v>
      </c>
      <c r="B198" s="776"/>
      <c r="C198" s="385"/>
      <c r="D198" s="389"/>
      <c r="E198" s="762" t="s">
        <v>706</v>
      </c>
      <c r="F198" s="776"/>
      <c r="G198" s="386"/>
      <c r="H198" s="775" t="s">
        <v>707</v>
      </c>
      <c r="I198" s="762"/>
      <c r="J198" s="776"/>
      <c r="K198" s="386"/>
    </row>
    <row r="199" spans="1:11" ht="9.9499999999999993" customHeight="1" x14ac:dyDescent="0.25"/>
    <row r="200" spans="1:11" x14ac:dyDescent="0.25">
      <c r="A200" s="786" t="s">
        <v>703</v>
      </c>
      <c r="B200" s="766"/>
      <c r="C200" s="377" t="str">
        <f>IF(OR($C201="",$C202="",$C203=""),"",29)</f>
        <v/>
      </c>
      <c r="D200" s="781" t="s">
        <v>1087</v>
      </c>
      <c r="E200" s="781"/>
      <c r="F200" s="780"/>
      <c r="G200" s="780"/>
      <c r="H200" s="383"/>
      <c r="I200" s="487" t="s">
        <v>880</v>
      </c>
      <c r="J200" s="773"/>
      <c r="K200" s="774"/>
    </row>
    <row r="201" spans="1:11" x14ac:dyDescent="0.25">
      <c r="A201" s="707" t="s">
        <v>14</v>
      </c>
      <c r="B201" s="693"/>
      <c r="C201" s="777"/>
      <c r="D201" s="778"/>
      <c r="E201" s="778"/>
      <c r="F201" s="778"/>
      <c r="G201" s="778"/>
      <c r="H201" s="778"/>
      <c r="I201" s="778"/>
      <c r="J201" s="778"/>
      <c r="K201" s="779"/>
    </row>
    <row r="202" spans="1:11" x14ac:dyDescent="0.25">
      <c r="A202" s="707" t="s">
        <v>483</v>
      </c>
      <c r="B202" s="693"/>
      <c r="C202" s="782"/>
      <c r="D202" s="783"/>
      <c r="E202" s="784"/>
      <c r="F202" s="785"/>
      <c r="G202" s="744" t="s">
        <v>484</v>
      </c>
      <c r="H202" s="744"/>
      <c r="I202" s="372" t="str">
        <f>IF(OR($C201="",$C202="",$C203=""),"","ND")</f>
        <v/>
      </c>
      <c r="J202" s="309" t="s">
        <v>482</v>
      </c>
      <c r="K202" s="375"/>
    </row>
    <row r="203" spans="1:11" x14ac:dyDescent="0.25">
      <c r="A203" s="707" t="s">
        <v>78</v>
      </c>
      <c r="B203" s="693"/>
      <c r="C203" s="777"/>
      <c r="D203" s="778"/>
      <c r="E203" s="779"/>
      <c r="F203" s="310" t="s">
        <v>134</v>
      </c>
      <c r="G203" s="220" t="str">
        <f>_xlfn.IFNA(VLOOKUP($C203,'Project Summary'!$N$131:$O$183,2,FALSE), "")</f>
        <v/>
      </c>
      <c r="H203" s="107"/>
      <c r="I203" s="311"/>
      <c r="J203" s="217"/>
      <c r="K203" s="180"/>
    </row>
    <row r="204" spans="1:11" x14ac:dyDescent="0.25">
      <c r="A204" s="664" t="s">
        <v>16</v>
      </c>
      <c r="B204" s="665"/>
      <c r="C204" s="376"/>
      <c r="D204" s="664" t="s">
        <v>1047</v>
      </c>
      <c r="E204" s="665"/>
      <c r="F204" s="666"/>
      <c r="G204" s="386"/>
      <c r="H204" s="665" t="s">
        <v>1044</v>
      </c>
      <c r="I204" s="665"/>
      <c r="J204" s="665"/>
      <c r="K204" s="88"/>
    </row>
    <row r="205" spans="1:11" x14ac:dyDescent="0.25">
      <c r="A205" s="775" t="s">
        <v>705</v>
      </c>
      <c r="B205" s="776"/>
      <c r="C205" s="385"/>
      <c r="D205" s="389"/>
      <c r="E205" s="762" t="s">
        <v>706</v>
      </c>
      <c r="F205" s="776"/>
      <c r="G205" s="386"/>
      <c r="H205" s="775" t="s">
        <v>707</v>
      </c>
      <c r="I205" s="762"/>
      <c r="J205" s="776"/>
      <c r="K205" s="386"/>
    </row>
    <row r="206" spans="1:11" ht="9.9499999999999993" customHeight="1" x14ac:dyDescent="0.25"/>
    <row r="207" spans="1:11" x14ac:dyDescent="0.25">
      <c r="A207" s="786" t="s">
        <v>703</v>
      </c>
      <c r="B207" s="766"/>
      <c r="C207" s="377" t="str">
        <f>IF(OR($C208="",$C209="",$C210=""),"",30)</f>
        <v/>
      </c>
      <c r="D207" s="781" t="s">
        <v>1087</v>
      </c>
      <c r="E207" s="781"/>
      <c r="F207" s="780"/>
      <c r="G207" s="780"/>
      <c r="H207" s="383"/>
      <c r="I207" s="487" t="s">
        <v>880</v>
      </c>
      <c r="J207" s="773"/>
      <c r="K207" s="774"/>
    </row>
    <row r="208" spans="1:11" x14ac:dyDescent="0.25">
      <c r="A208" s="707" t="s">
        <v>14</v>
      </c>
      <c r="B208" s="693"/>
      <c r="C208" s="777"/>
      <c r="D208" s="778"/>
      <c r="E208" s="778"/>
      <c r="F208" s="778"/>
      <c r="G208" s="778"/>
      <c r="H208" s="778"/>
      <c r="I208" s="778"/>
      <c r="J208" s="778"/>
      <c r="K208" s="779"/>
    </row>
    <row r="209" spans="1:11" x14ac:dyDescent="0.25">
      <c r="A209" s="707" t="s">
        <v>483</v>
      </c>
      <c r="B209" s="693"/>
      <c r="C209" s="782"/>
      <c r="D209" s="783"/>
      <c r="E209" s="784"/>
      <c r="F209" s="785"/>
      <c r="G209" s="744" t="s">
        <v>484</v>
      </c>
      <c r="H209" s="744"/>
      <c r="I209" s="372" t="str">
        <f>IF(OR($C208="",$C209="",$C210=""),"","ND")</f>
        <v/>
      </c>
      <c r="J209" s="309" t="s">
        <v>482</v>
      </c>
      <c r="K209" s="375"/>
    </row>
    <row r="210" spans="1:11" x14ac:dyDescent="0.25">
      <c r="A210" s="707" t="s">
        <v>78</v>
      </c>
      <c r="B210" s="693"/>
      <c r="C210" s="777"/>
      <c r="D210" s="778"/>
      <c r="E210" s="779"/>
      <c r="F210" s="310" t="s">
        <v>134</v>
      </c>
      <c r="G210" s="220" t="str">
        <f>_xlfn.IFNA(VLOOKUP($C210,'Project Summary'!$N$131:$O$183,2,FALSE), "")</f>
        <v/>
      </c>
      <c r="H210" s="107"/>
      <c r="I210" s="311"/>
      <c r="J210" s="217"/>
      <c r="K210" s="180"/>
    </row>
    <row r="211" spans="1:11" x14ac:dyDescent="0.25">
      <c r="A211" s="664" t="s">
        <v>16</v>
      </c>
      <c r="B211" s="665"/>
      <c r="C211" s="376"/>
      <c r="D211" s="664" t="s">
        <v>1047</v>
      </c>
      <c r="E211" s="665"/>
      <c r="F211" s="666"/>
      <c r="G211" s="386"/>
      <c r="H211" s="665" t="s">
        <v>1044</v>
      </c>
      <c r="I211" s="665"/>
      <c r="J211" s="665"/>
      <c r="K211" s="88"/>
    </row>
    <row r="212" spans="1:11" x14ac:dyDescent="0.25">
      <c r="A212" s="775" t="s">
        <v>705</v>
      </c>
      <c r="B212" s="776"/>
      <c r="C212" s="385"/>
      <c r="D212" s="389"/>
      <c r="E212" s="762" t="s">
        <v>706</v>
      </c>
      <c r="F212" s="776"/>
      <c r="G212" s="386"/>
      <c r="H212" s="775" t="s">
        <v>707</v>
      </c>
      <c r="I212" s="762"/>
      <c r="J212" s="776"/>
      <c r="K212" s="386"/>
    </row>
    <row r="213" spans="1:11" ht="9.9499999999999993" customHeight="1" x14ac:dyDescent="0.25"/>
    <row r="214" spans="1:11" x14ac:dyDescent="0.25">
      <c r="A214" s="786" t="s">
        <v>703</v>
      </c>
      <c r="B214" s="766"/>
      <c r="C214" s="377" t="str">
        <f>IF(OR($C215="",$C216="",$C217=""),"",31)</f>
        <v/>
      </c>
      <c r="D214" s="781" t="s">
        <v>1087</v>
      </c>
      <c r="E214" s="781"/>
      <c r="F214" s="780"/>
      <c r="G214" s="780"/>
      <c r="H214" s="383"/>
      <c r="I214" s="487" t="s">
        <v>880</v>
      </c>
      <c r="J214" s="773"/>
      <c r="K214" s="774"/>
    </row>
    <row r="215" spans="1:11" x14ac:dyDescent="0.25">
      <c r="A215" s="707" t="s">
        <v>14</v>
      </c>
      <c r="B215" s="693"/>
      <c r="C215" s="777"/>
      <c r="D215" s="778"/>
      <c r="E215" s="778"/>
      <c r="F215" s="778"/>
      <c r="G215" s="778"/>
      <c r="H215" s="778"/>
      <c r="I215" s="778"/>
      <c r="J215" s="778"/>
      <c r="K215" s="779"/>
    </row>
    <row r="216" spans="1:11" x14ac:dyDescent="0.25">
      <c r="A216" s="707" t="s">
        <v>483</v>
      </c>
      <c r="B216" s="693"/>
      <c r="C216" s="782"/>
      <c r="D216" s="783"/>
      <c r="E216" s="784"/>
      <c r="F216" s="785"/>
      <c r="G216" s="744" t="s">
        <v>484</v>
      </c>
      <c r="H216" s="744"/>
      <c r="I216" s="372" t="str">
        <f>IF(OR($C215="",$C216="",$C217=""),"","ND")</f>
        <v/>
      </c>
      <c r="J216" s="309" t="s">
        <v>482</v>
      </c>
      <c r="K216" s="375"/>
    </row>
    <row r="217" spans="1:11" x14ac:dyDescent="0.25">
      <c r="A217" s="707" t="s">
        <v>78</v>
      </c>
      <c r="B217" s="693"/>
      <c r="C217" s="777"/>
      <c r="D217" s="778"/>
      <c r="E217" s="779"/>
      <c r="F217" s="310" t="s">
        <v>134</v>
      </c>
      <c r="G217" s="220" t="str">
        <f>_xlfn.IFNA(VLOOKUP($C217,'Project Summary'!$N$131:$O$183,2,FALSE), "")</f>
        <v/>
      </c>
      <c r="H217" s="107"/>
      <c r="I217" s="311"/>
      <c r="J217" s="217"/>
      <c r="K217" s="180"/>
    </row>
    <row r="218" spans="1:11" x14ac:dyDescent="0.25">
      <c r="A218" s="664" t="s">
        <v>16</v>
      </c>
      <c r="B218" s="665"/>
      <c r="C218" s="376"/>
      <c r="D218" s="664" t="s">
        <v>1047</v>
      </c>
      <c r="E218" s="665"/>
      <c r="F218" s="666"/>
      <c r="G218" s="386"/>
      <c r="H218" s="665" t="s">
        <v>1044</v>
      </c>
      <c r="I218" s="665"/>
      <c r="J218" s="665"/>
      <c r="K218" s="88"/>
    </row>
    <row r="219" spans="1:11" x14ac:dyDescent="0.25">
      <c r="A219" s="775" t="s">
        <v>705</v>
      </c>
      <c r="B219" s="776"/>
      <c r="C219" s="385"/>
      <c r="D219" s="389"/>
      <c r="E219" s="762" t="s">
        <v>706</v>
      </c>
      <c r="F219" s="776"/>
      <c r="G219" s="386"/>
      <c r="H219" s="775" t="s">
        <v>707</v>
      </c>
      <c r="I219" s="762"/>
      <c r="J219" s="776"/>
      <c r="K219" s="386"/>
    </row>
    <row r="220" spans="1:11" ht="9.9499999999999993" customHeight="1" x14ac:dyDescent="0.25"/>
    <row r="221" spans="1:11" x14ac:dyDescent="0.25">
      <c r="A221" s="786" t="s">
        <v>703</v>
      </c>
      <c r="B221" s="766"/>
      <c r="C221" s="377" t="str">
        <f>IF(OR($C222="",$C223="",$C224=""),"",32)</f>
        <v/>
      </c>
      <c r="D221" s="781" t="s">
        <v>1087</v>
      </c>
      <c r="E221" s="781"/>
      <c r="F221" s="780"/>
      <c r="G221" s="780"/>
      <c r="H221" s="383"/>
      <c r="I221" s="487" t="s">
        <v>880</v>
      </c>
      <c r="J221" s="773"/>
      <c r="K221" s="774"/>
    </row>
    <row r="222" spans="1:11" x14ac:dyDescent="0.25">
      <c r="A222" s="707" t="s">
        <v>14</v>
      </c>
      <c r="B222" s="693"/>
      <c r="C222" s="777"/>
      <c r="D222" s="778"/>
      <c r="E222" s="778"/>
      <c r="F222" s="778"/>
      <c r="G222" s="778"/>
      <c r="H222" s="778"/>
      <c r="I222" s="778"/>
      <c r="J222" s="778"/>
      <c r="K222" s="779"/>
    </row>
    <row r="223" spans="1:11" x14ac:dyDescent="0.25">
      <c r="A223" s="707" t="s">
        <v>483</v>
      </c>
      <c r="B223" s="693"/>
      <c r="C223" s="782"/>
      <c r="D223" s="783"/>
      <c r="E223" s="784"/>
      <c r="F223" s="785"/>
      <c r="G223" s="744" t="s">
        <v>484</v>
      </c>
      <c r="H223" s="744"/>
      <c r="I223" s="372" t="str">
        <f>IF(OR($C222="",$C223="",$C224=""),"","ND")</f>
        <v/>
      </c>
      <c r="J223" s="309" t="s">
        <v>482</v>
      </c>
      <c r="K223" s="375"/>
    </row>
    <row r="224" spans="1:11" x14ac:dyDescent="0.25">
      <c r="A224" s="707" t="s">
        <v>78</v>
      </c>
      <c r="B224" s="693"/>
      <c r="C224" s="777"/>
      <c r="D224" s="778"/>
      <c r="E224" s="779"/>
      <c r="F224" s="310" t="s">
        <v>134</v>
      </c>
      <c r="G224" s="220" t="str">
        <f>_xlfn.IFNA(VLOOKUP($C224,'Project Summary'!$N$131:$O$183,2,FALSE), "")</f>
        <v/>
      </c>
      <c r="H224" s="107"/>
      <c r="I224" s="311"/>
      <c r="J224" s="217"/>
      <c r="K224" s="180"/>
    </row>
    <row r="225" spans="1:11" x14ac:dyDescent="0.25">
      <c r="A225" s="664" t="s">
        <v>16</v>
      </c>
      <c r="B225" s="665"/>
      <c r="C225" s="376"/>
      <c r="D225" s="664" t="s">
        <v>1047</v>
      </c>
      <c r="E225" s="665"/>
      <c r="F225" s="666"/>
      <c r="G225" s="386"/>
      <c r="H225" s="665" t="s">
        <v>1044</v>
      </c>
      <c r="I225" s="665"/>
      <c r="J225" s="665"/>
      <c r="K225" s="88"/>
    </row>
    <row r="226" spans="1:11" x14ac:dyDescent="0.25">
      <c r="A226" s="775" t="s">
        <v>705</v>
      </c>
      <c r="B226" s="776"/>
      <c r="C226" s="385"/>
      <c r="D226" s="389"/>
      <c r="E226" s="762" t="s">
        <v>706</v>
      </c>
      <c r="F226" s="776"/>
      <c r="G226" s="386"/>
      <c r="H226" s="775" t="s">
        <v>707</v>
      </c>
      <c r="I226" s="762"/>
      <c r="J226" s="776"/>
      <c r="K226" s="386"/>
    </row>
    <row r="227" spans="1:11" ht="9.9499999999999993" customHeight="1" x14ac:dyDescent="0.25"/>
    <row r="228" spans="1:11" x14ac:dyDescent="0.25">
      <c r="A228" s="786" t="s">
        <v>703</v>
      </c>
      <c r="B228" s="766"/>
      <c r="C228" s="377" t="str">
        <f>IF(OR($C229="",$C230="",$C231=""),"",33)</f>
        <v/>
      </c>
      <c r="D228" s="781" t="s">
        <v>1087</v>
      </c>
      <c r="E228" s="781"/>
      <c r="F228" s="780"/>
      <c r="G228" s="780"/>
      <c r="H228" s="383"/>
      <c r="I228" s="487" t="s">
        <v>880</v>
      </c>
      <c r="J228" s="773"/>
      <c r="K228" s="774"/>
    </row>
    <row r="229" spans="1:11" x14ac:dyDescent="0.25">
      <c r="A229" s="707" t="s">
        <v>14</v>
      </c>
      <c r="B229" s="693"/>
      <c r="C229" s="777"/>
      <c r="D229" s="778"/>
      <c r="E229" s="778"/>
      <c r="F229" s="778"/>
      <c r="G229" s="778"/>
      <c r="H229" s="778"/>
      <c r="I229" s="778"/>
      <c r="J229" s="778"/>
      <c r="K229" s="779"/>
    </row>
    <row r="230" spans="1:11" x14ac:dyDescent="0.25">
      <c r="A230" s="707" t="s">
        <v>483</v>
      </c>
      <c r="B230" s="693"/>
      <c r="C230" s="782"/>
      <c r="D230" s="783"/>
      <c r="E230" s="784"/>
      <c r="F230" s="785"/>
      <c r="G230" s="744" t="s">
        <v>484</v>
      </c>
      <c r="H230" s="744"/>
      <c r="I230" s="372" t="str">
        <f>IF(OR($C229="",$C230="",$C231=""),"","ND")</f>
        <v/>
      </c>
      <c r="J230" s="309" t="s">
        <v>482</v>
      </c>
      <c r="K230" s="375"/>
    </row>
    <row r="231" spans="1:11" x14ac:dyDescent="0.25">
      <c r="A231" s="707" t="s">
        <v>78</v>
      </c>
      <c r="B231" s="693"/>
      <c r="C231" s="777"/>
      <c r="D231" s="778"/>
      <c r="E231" s="779"/>
      <c r="F231" s="310" t="s">
        <v>134</v>
      </c>
      <c r="G231" s="220" t="str">
        <f>_xlfn.IFNA(VLOOKUP($C231,'Project Summary'!$N$131:$O$183,2,FALSE), "")</f>
        <v/>
      </c>
      <c r="H231" s="107"/>
      <c r="I231" s="311"/>
      <c r="J231" s="217"/>
      <c r="K231" s="180"/>
    </row>
    <row r="232" spans="1:11" x14ac:dyDescent="0.25">
      <c r="A232" s="664" t="s">
        <v>16</v>
      </c>
      <c r="B232" s="665"/>
      <c r="C232" s="376"/>
      <c r="D232" s="664" t="s">
        <v>1047</v>
      </c>
      <c r="E232" s="665"/>
      <c r="F232" s="666"/>
      <c r="G232" s="386"/>
      <c r="H232" s="665" t="s">
        <v>1044</v>
      </c>
      <c r="I232" s="665"/>
      <c r="J232" s="665"/>
      <c r="K232" s="88"/>
    </row>
    <row r="233" spans="1:11" x14ac:dyDescent="0.25">
      <c r="A233" s="775" t="s">
        <v>705</v>
      </c>
      <c r="B233" s="776"/>
      <c r="C233" s="385"/>
      <c r="D233" s="389"/>
      <c r="E233" s="762" t="s">
        <v>706</v>
      </c>
      <c r="F233" s="776"/>
      <c r="G233" s="386"/>
      <c r="H233" s="775" t="s">
        <v>707</v>
      </c>
      <c r="I233" s="762"/>
      <c r="J233" s="776"/>
      <c r="K233" s="386"/>
    </row>
    <row r="234" spans="1:11" ht="9.9499999999999993" customHeight="1" x14ac:dyDescent="0.25"/>
    <row r="235" spans="1:11" x14ac:dyDescent="0.25">
      <c r="A235" s="786" t="s">
        <v>703</v>
      </c>
      <c r="B235" s="766"/>
      <c r="C235" s="377" t="str">
        <f>IF(OR($C236="",$C237="",$C238=""),"",34)</f>
        <v/>
      </c>
      <c r="D235" s="781" t="s">
        <v>1087</v>
      </c>
      <c r="E235" s="781"/>
      <c r="F235" s="780"/>
      <c r="G235" s="780"/>
      <c r="H235" s="383"/>
      <c r="I235" s="487" t="s">
        <v>880</v>
      </c>
      <c r="J235" s="773"/>
      <c r="K235" s="774"/>
    </row>
    <row r="236" spans="1:11" x14ac:dyDescent="0.25">
      <c r="A236" s="707" t="s">
        <v>14</v>
      </c>
      <c r="B236" s="693"/>
      <c r="C236" s="777"/>
      <c r="D236" s="778"/>
      <c r="E236" s="778"/>
      <c r="F236" s="778"/>
      <c r="G236" s="778"/>
      <c r="H236" s="778"/>
      <c r="I236" s="778"/>
      <c r="J236" s="778"/>
      <c r="K236" s="779"/>
    </row>
    <row r="237" spans="1:11" x14ac:dyDescent="0.25">
      <c r="A237" s="707" t="s">
        <v>483</v>
      </c>
      <c r="B237" s="693"/>
      <c r="C237" s="782"/>
      <c r="D237" s="783"/>
      <c r="E237" s="784"/>
      <c r="F237" s="785"/>
      <c r="G237" s="744" t="s">
        <v>484</v>
      </c>
      <c r="H237" s="744"/>
      <c r="I237" s="372" t="str">
        <f>IF(OR($C236="",$C237="",$C238=""),"","ND")</f>
        <v/>
      </c>
      <c r="J237" s="309" t="s">
        <v>482</v>
      </c>
      <c r="K237" s="375"/>
    </row>
    <row r="238" spans="1:11" x14ac:dyDescent="0.25">
      <c r="A238" s="707" t="s">
        <v>78</v>
      </c>
      <c r="B238" s="693"/>
      <c r="C238" s="777"/>
      <c r="D238" s="778"/>
      <c r="E238" s="779"/>
      <c r="F238" s="310" t="s">
        <v>134</v>
      </c>
      <c r="G238" s="220" t="str">
        <f>_xlfn.IFNA(VLOOKUP($C238,'Project Summary'!$N$131:$O$183,2,FALSE), "")</f>
        <v/>
      </c>
      <c r="H238" s="107"/>
      <c r="I238" s="311"/>
      <c r="J238" s="217"/>
      <c r="K238" s="180"/>
    </row>
    <row r="239" spans="1:11" x14ac:dyDescent="0.25">
      <c r="A239" s="664" t="s">
        <v>16</v>
      </c>
      <c r="B239" s="665"/>
      <c r="C239" s="376"/>
      <c r="D239" s="664" t="s">
        <v>1047</v>
      </c>
      <c r="E239" s="665"/>
      <c r="F239" s="666"/>
      <c r="G239" s="386"/>
      <c r="H239" s="665" t="s">
        <v>1044</v>
      </c>
      <c r="I239" s="665"/>
      <c r="J239" s="665"/>
      <c r="K239" s="88"/>
    </row>
    <row r="240" spans="1:11" x14ac:dyDescent="0.25">
      <c r="A240" s="775" t="s">
        <v>705</v>
      </c>
      <c r="B240" s="776"/>
      <c r="C240" s="385"/>
      <c r="D240" s="389"/>
      <c r="E240" s="762" t="s">
        <v>706</v>
      </c>
      <c r="F240" s="776"/>
      <c r="G240" s="386"/>
      <c r="H240" s="775" t="s">
        <v>707</v>
      </c>
      <c r="I240" s="762"/>
      <c r="J240" s="776"/>
      <c r="K240" s="386"/>
    </row>
    <row r="241" spans="1:11" ht="9.9499999999999993" customHeight="1" x14ac:dyDescent="0.25"/>
    <row r="242" spans="1:11" x14ac:dyDescent="0.25">
      <c r="A242" s="786" t="s">
        <v>703</v>
      </c>
      <c r="B242" s="766"/>
      <c r="C242" s="377" t="str">
        <f>IF(OR($C243="",$C244="",$C245=""),"",35)</f>
        <v/>
      </c>
      <c r="D242" s="781" t="s">
        <v>1087</v>
      </c>
      <c r="E242" s="781"/>
      <c r="F242" s="780"/>
      <c r="G242" s="780"/>
      <c r="H242" s="383"/>
      <c r="I242" s="487" t="s">
        <v>880</v>
      </c>
      <c r="J242" s="773"/>
      <c r="K242" s="774"/>
    </row>
    <row r="243" spans="1:11" x14ac:dyDescent="0.25">
      <c r="A243" s="707" t="s">
        <v>14</v>
      </c>
      <c r="B243" s="693"/>
      <c r="C243" s="777"/>
      <c r="D243" s="778"/>
      <c r="E243" s="778"/>
      <c r="F243" s="778"/>
      <c r="G243" s="778"/>
      <c r="H243" s="778"/>
      <c r="I243" s="778"/>
      <c r="J243" s="778"/>
      <c r="K243" s="779"/>
    </row>
    <row r="244" spans="1:11" x14ac:dyDescent="0.25">
      <c r="A244" s="707" t="s">
        <v>483</v>
      </c>
      <c r="B244" s="693"/>
      <c r="C244" s="782"/>
      <c r="D244" s="783"/>
      <c r="E244" s="784"/>
      <c r="F244" s="785"/>
      <c r="G244" s="744" t="s">
        <v>484</v>
      </c>
      <c r="H244" s="744"/>
      <c r="I244" s="372" t="str">
        <f>IF(OR($C243="",$C244="",$C245=""),"","ND")</f>
        <v/>
      </c>
      <c r="J244" s="309" t="s">
        <v>482</v>
      </c>
      <c r="K244" s="375"/>
    </row>
    <row r="245" spans="1:11" x14ac:dyDescent="0.25">
      <c r="A245" s="707" t="s">
        <v>78</v>
      </c>
      <c r="B245" s="693"/>
      <c r="C245" s="777"/>
      <c r="D245" s="778"/>
      <c r="E245" s="779"/>
      <c r="F245" s="310" t="s">
        <v>134</v>
      </c>
      <c r="G245" s="220" t="str">
        <f>_xlfn.IFNA(VLOOKUP($C245,'Project Summary'!$N$131:$O$183,2,FALSE), "")</f>
        <v/>
      </c>
      <c r="H245" s="107"/>
      <c r="I245" s="311"/>
      <c r="J245" s="217"/>
      <c r="K245" s="180"/>
    </row>
    <row r="246" spans="1:11" x14ac:dyDescent="0.25">
      <c r="A246" s="664" t="s">
        <v>16</v>
      </c>
      <c r="B246" s="665"/>
      <c r="C246" s="376"/>
      <c r="D246" s="664" t="s">
        <v>1047</v>
      </c>
      <c r="E246" s="665"/>
      <c r="F246" s="666"/>
      <c r="G246" s="386"/>
      <c r="H246" s="665" t="s">
        <v>1044</v>
      </c>
      <c r="I246" s="665"/>
      <c r="J246" s="665"/>
      <c r="K246" s="88"/>
    </row>
    <row r="247" spans="1:11" x14ac:dyDescent="0.25">
      <c r="A247" s="775" t="s">
        <v>705</v>
      </c>
      <c r="B247" s="776"/>
      <c r="C247" s="385"/>
      <c r="D247" s="389"/>
      <c r="E247" s="762" t="s">
        <v>706</v>
      </c>
      <c r="F247" s="776"/>
      <c r="G247" s="386"/>
      <c r="H247" s="775" t="s">
        <v>707</v>
      </c>
      <c r="I247" s="762"/>
      <c r="J247" s="776"/>
      <c r="K247" s="386"/>
    </row>
    <row r="248" spans="1:11" ht="9.9499999999999993" customHeight="1" x14ac:dyDescent="0.25"/>
    <row r="249" spans="1:11" x14ac:dyDescent="0.25">
      <c r="A249" s="786" t="s">
        <v>703</v>
      </c>
      <c r="B249" s="766"/>
      <c r="C249" s="377" t="str">
        <f>IF(OR($C250="",$C251="",$C252=""),"",36)</f>
        <v/>
      </c>
      <c r="D249" s="781" t="s">
        <v>1087</v>
      </c>
      <c r="E249" s="781"/>
      <c r="F249" s="780"/>
      <c r="G249" s="780"/>
      <c r="H249" s="383"/>
      <c r="I249" s="487" t="s">
        <v>880</v>
      </c>
      <c r="J249" s="773"/>
      <c r="K249" s="774"/>
    </row>
    <row r="250" spans="1:11" x14ac:dyDescent="0.25">
      <c r="A250" s="707" t="s">
        <v>14</v>
      </c>
      <c r="B250" s="693"/>
      <c r="C250" s="777"/>
      <c r="D250" s="778"/>
      <c r="E250" s="778"/>
      <c r="F250" s="778"/>
      <c r="G250" s="778"/>
      <c r="H250" s="778"/>
      <c r="I250" s="778"/>
      <c r="J250" s="778"/>
      <c r="K250" s="779"/>
    </row>
    <row r="251" spans="1:11" x14ac:dyDescent="0.25">
      <c r="A251" s="707" t="s">
        <v>483</v>
      </c>
      <c r="B251" s="693"/>
      <c r="C251" s="782"/>
      <c r="D251" s="783"/>
      <c r="E251" s="784"/>
      <c r="F251" s="785"/>
      <c r="G251" s="744" t="s">
        <v>484</v>
      </c>
      <c r="H251" s="744"/>
      <c r="I251" s="372" t="str">
        <f>IF(OR($C250="",$C251="",$C252=""),"","ND")</f>
        <v/>
      </c>
      <c r="J251" s="309" t="s">
        <v>482</v>
      </c>
      <c r="K251" s="375"/>
    </row>
    <row r="252" spans="1:11" x14ac:dyDescent="0.25">
      <c r="A252" s="707" t="s">
        <v>78</v>
      </c>
      <c r="B252" s="693"/>
      <c r="C252" s="777"/>
      <c r="D252" s="778"/>
      <c r="E252" s="779"/>
      <c r="F252" s="310" t="s">
        <v>134</v>
      </c>
      <c r="G252" s="220" t="str">
        <f>_xlfn.IFNA(VLOOKUP($C252,'Project Summary'!$N$131:$O$183,2,FALSE), "")</f>
        <v/>
      </c>
      <c r="H252" s="107"/>
      <c r="I252" s="311"/>
      <c r="J252" s="217"/>
      <c r="K252" s="180"/>
    </row>
    <row r="253" spans="1:11" x14ac:dyDescent="0.25">
      <c r="A253" s="664" t="s">
        <v>16</v>
      </c>
      <c r="B253" s="665"/>
      <c r="C253" s="376"/>
      <c r="D253" s="664" t="s">
        <v>1047</v>
      </c>
      <c r="E253" s="665"/>
      <c r="F253" s="666"/>
      <c r="G253" s="386"/>
      <c r="H253" s="665" t="s">
        <v>1044</v>
      </c>
      <c r="I253" s="665"/>
      <c r="J253" s="665"/>
      <c r="K253" s="88"/>
    </row>
    <row r="254" spans="1:11" x14ac:dyDescent="0.25">
      <c r="A254" s="775" t="s">
        <v>705</v>
      </c>
      <c r="B254" s="776"/>
      <c r="C254" s="385"/>
      <c r="D254" s="389"/>
      <c r="E254" s="762" t="s">
        <v>706</v>
      </c>
      <c r="F254" s="776"/>
      <c r="G254" s="386"/>
      <c r="H254" s="775" t="s">
        <v>707</v>
      </c>
      <c r="I254" s="762"/>
      <c r="J254" s="776"/>
      <c r="K254" s="386"/>
    </row>
    <row r="255" spans="1:11" ht="9.9499999999999993" customHeight="1" x14ac:dyDescent="0.25"/>
    <row r="256" spans="1:11" x14ac:dyDescent="0.25">
      <c r="A256" s="786" t="s">
        <v>703</v>
      </c>
      <c r="B256" s="766"/>
      <c r="C256" s="377" t="str">
        <f>IF(OR($C257="",$C258="",$C259=""),"",37)</f>
        <v/>
      </c>
      <c r="D256" s="781" t="s">
        <v>1087</v>
      </c>
      <c r="E256" s="781"/>
      <c r="F256" s="780"/>
      <c r="G256" s="780"/>
      <c r="H256" s="383"/>
      <c r="I256" s="487" t="s">
        <v>880</v>
      </c>
      <c r="J256" s="773"/>
      <c r="K256" s="774"/>
    </row>
    <row r="257" spans="1:11" x14ac:dyDescent="0.25">
      <c r="A257" s="707" t="s">
        <v>14</v>
      </c>
      <c r="B257" s="693"/>
      <c r="C257" s="777"/>
      <c r="D257" s="778"/>
      <c r="E257" s="778"/>
      <c r="F257" s="778"/>
      <c r="G257" s="778"/>
      <c r="H257" s="778"/>
      <c r="I257" s="778"/>
      <c r="J257" s="778"/>
      <c r="K257" s="779"/>
    </row>
    <row r="258" spans="1:11" x14ac:dyDescent="0.25">
      <c r="A258" s="707" t="s">
        <v>483</v>
      </c>
      <c r="B258" s="693"/>
      <c r="C258" s="782"/>
      <c r="D258" s="783"/>
      <c r="E258" s="784"/>
      <c r="F258" s="785"/>
      <c r="G258" s="744" t="s">
        <v>484</v>
      </c>
      <c r="H258" s="744"/>
      <c r="I258" s="372" t="str">
        <f>IF(OR($C257="",$C258="",$C259=""),"","ND")</f>
        <v/>
      </c>
      <c r="J258" s="309" t="s">
        <v>482</v>
      </c>
      <c r="K258" s="375"/>
    </row>
    <row r="259" spans="1:11" x14ac:dyDescent="0.25">
      <c r="A259" s="707" t="s">
        <v>78</v>
      </c>
      <c r="B259" s="693"/>
      <c r="C259" s="777"/>
      <c r="D259" s="778"/>
      <c r="E259" s="779"/>
      <c r="F259" s="310" t="s">
        <v>134</v>
      </c>
      <c r="G259" s="220" t="str">
        <f>_xlfn.IFNA(VLOOKUP($C259,'Project Summary'!$N$131:$O$183,2,FALSE), "")</f>
        <v/>
      </c>
      <c r="H259" s="107"/>
      <c r="I259" s="311"/>
      <c r="J259" s="217"/>
      <c r="K259" s="180"/>
    </row>
    <row r="260" spans="1:11" x14ac:dyDescent="0.25">
      <c r="A260" s="664" t="s">
        <v>16</v>
      </c>
      <c r="B260" s="665"/>
      <c r="C260" s="376"/>
      <c r="D260" s="664" t="s">
        <v>1047</v>
      </c>
      <c r="E260" s="665"/>
      <c r="F260" s="666"/>
      <c r="G260" s="386"/>
      <c r="H260" s="665" t="s">
        <v>1044</v>
      </c>
      <c r="I260" s="665"/>
      <c r="J260" s="665"/>
      <c r="K260" s="88"/>
    </row>
    <row r="261" spans="1:11" x14ac:dyDescent="0.25">
      <c r="A261" s="775" t="s">
        <v>705</v>
      </c>
      <c r="B261" s="776"/>
      <c r="C261" s="385"/>
      <c r="D261" s="389"/>
      <c r="E261" s="762" t="s">
        <v>706</v>
      </c>
      <c r="F261" s="776"/>
      <c r="G261" s="386"/>
      <c r="H261" s="775" t="s">
        <v>707</v>
      </c>
      <c r="I261" s="762"/>
      <c r="J261" s="776"/>
      <c r="K261" s="386"/>
    </row>
    <row r="262" spans="1:11" ht="9.9499999999999993" customHeight="1" x14ac:dyDescent="0.25"/>
    <row r="263" spans="1:11" x14ac:dyDescent="0.25">
      <c r="A263" s="786" t="s">
        <v>703</v>
      </c>
      <c r="B263" s="766"/>
      <c r="C263" s="377" t="str">
        <f>IF(OR($C264="",$C265="",$C266=""),"",38)</f>
        <v/>
      </c>
      <c r="D263" s="781" t="s">
        <v>1087</v>
      </c>
      <c r="E263" s="781"/>
      <c r="F263" s="780"/>
      <c r="G263" s="780"/>
      <c r="H263" s="383"/>
      <c r="I263" s="487" t="s">
        <v>880</v>
      </c>
      <c r="J263" s="773"/>
      <c r="K263" s="774"/>
    </row>
    <row r="264" spans="1:11" x14ac:dyDescent="0.25">
      <c r="A264" s="707" t="s">
        <v>14</v>
      </c>
      <c r="B264" s="693"/>
      <c r="C264" s="777"/>
      <c r="D264" s="778"/>
      <c r="E264" s="778"/>
      <c r="F264" s="778"/>
      <c r="G264" s="778"/>
      <c r="H264" s="778"/>
      <c r="I264" s="778"/>
      <c r="J264" s="778"/>
      <c r="K264" s="779"/>
    </row>
    <row r="265" spans="1:11" x14ac:dyDescent="0.25">
      <c r="A265" s="707" t="s">
        <v>483</v>
      </c>
      <c r="B265" s="693"/>
      <c r="C265" s="782"/>
      <c r="D265" s="783"/>
      <c r="E265" s="784"/>
      <c r="F265" s="785"/>
      <c r="G265" s="744" t="s">
        <v>484</v>
      </c>
      <c r="H265" s="744"/>
      <c r="I265" s="372" t="str">
        <f>IF(OR($C264="",$C265="",$C266=""),"","ND")</f>
        <v/>
      </c>
      <c r="J265" s="309" t="s">
        <v>482</v>
      </c>
      <c r="K265" s="375"/>
    </row>
    <row r="266" spans="1:11" x14ac:dyDescent="0.25">
      <c r="A266" s="707" t="s">
        <v>78</v>
      </c>
      <c r="B266" s="693"/>
      <c r="C266" s="777"/>
      <c r="D266" s="778"/>
      <c r="E266" s="779"/>
      <c r="F266" s="310" t="s">
        <v>134</v>
      </c>
      <c r="G266" s="220" t="str">
        <f>_xlfn.IFNA(VLOOKUP($C266,'Project Summary'!$N$131:$O$183,2,FALSE), "")</f>
        <v/>
      </c>
      <c r="H266" s="107"/>
      <c r="I266" s="311"/>
      <c r="J266" s="217"/>
      <c r="K266" s="180"/>
    </row>
    <row r="267" spans="1:11" x14ac:dyDescent="0.25">
      <c r="A267" s="664" t="s">
        <v>16</v>
      </c>
      <c r="B267" s="665"/>
      <c r="C267" s="376"/>
      <c r="D267" s="664" t="s">
        <v>1047</v>
      </c>
      <c r="E267" s="665"/>
      <c r="F267" s="666"/>
      <c r="G267" s="386"/>
      <c r="H267" s="665" t="s">
        <v>1044</v>
      </c>
      <c r="I267" s="665"/>
      <c r="J267" s="665"/>
      <c r="K267" s="88"/>
    </row>
    <row r="268" spans="1:11" x14ac:dyDescent="0.25">
      <c r="A268" s="775" t="s">
        <v>705</v>
      </c>
      <c r="B268" s="776"/>
      <c r="C268" s="385"/>
      <c r="D268" s="389"/>
      <c r="E268" s="762" t="s">
        <v>706</v>
      </c>
      <c r="F268" s="776"/>
      <c r="G268" s="386"/>
      <c r="H268" s="775" t="s">
        <v>707</v>
      </c>
      <c r="I268" s="762"/>
      <c r="J268" s="776"/>
      <c r="K268" s="386"/>
    </row>
    <row r="269" spans="1:11" ht="9.9499999999999993" customHeight="1" x14ac:dyDescent="0.25"/>
    <row r="270" spans="1:11" x14ac:dyDescent="0.25">
      <c r="A270" s="786" t="s">
        <v>703</v>
      </c>
      <c r="B270" s="766"/>
      <c r="C270" s="377" t="str">
        <f>IF(OR($C271="",$C272="",$C273=""),"",39)</f>
        <v/>
      </c>
      <c r="D270" s="781" t="s">
        <v>1087</v>
      </c>
      <c r="E270" s="781"/>
      <c r="F270" s="780"/>
      <c r="G270" s="780"/>
      <c r="H270" s="383"/>
      <c r="I270" s="487" t="s">
        <v>880</v>
      </c>
      <c r="J270" s="773"/>
      <c r="K270" s="774"/>
    </row>
    <row r="271" spans="1:11" x14ac:dyDescent="0.25">
      <c r="A271" s="707" t="s">
        <v>14</v>
      </c>
      <c r="B271" s="693"/>
      <c r="C271" s="777"/>
      <c r="D271" s="778"/>
      <c r="E271" s="778"/>
      <c r="F271" s="778"/>
      <c r="G271" s="778"/>
      <c r="H271" s="778"/>
      <c r="I271" s="778"/>
      <c r="J271" s="778"/>
      <c r="K271" s="779"/>
    </row>
    <row r="272" spans="1:11" x14ac:dyDescent="0.25">
      <c r="A272" s="707" t="s">
        <v>483</v>
      </c>
      <c r="B272" s="693"/>
      <c r="C272" s="782"/>
      <c r="D272" s="783"/>
      <c r="E272" s="784"/>
      <c r="F272" s="785"/>
      <c r="G272" s="744" t="s">
        <v>484</v>
      </c>
      <c r="H272" s="744"/>
      <c r="I272" s="372" t="str">
        <f>IF(OR($C271="",$C272="",$C273=""),"","ND")</f>
        <v/>
      </c>
      <c r="J272" s="309" t="s">
        <v>482</v>
      </c>
      <c r="K272" s="375"/>
    </row>
    <row r="273" spans="1:11" x14ac:dyDescent="0.25">
      <c r="A273" s="707" t="s">
        <v>78</v>
      </c>
      <c r="B273" s="693"/>
      <c r="C273" s="777"/>
      <c r="D273" s="778"/>
      <c r="E273" s="779"/>
      <c r="F273" s="310" t="s">
        <v>134</v>
      </c>
      <c r="G273" s="220" t="str">
        <f>_xlfn.IFNA(VLOOKUP($C273,'Project Summary'!$N$131:$O$183,2,FALSE), "")</f>
        <v/>
      </c>
      <c r="H273" s="107"/>
      <c r="I273" s="311"/>
      <c r="J273" s="217"/>
      <c r="K273" s="180"/>
    </row>
    <row r="274" spans="1:11" x14ac:dyDescent="0.25">
      <c r="A274" s="664" t="s">
        <v>16</v>
      </c>
      <c r="B274" s="665"/>
      <c r="C274" s="376"/>
      <c r="D274" s="664" t="s">
        <v>1047</v>
      </c>
      <c r="E274" s="665"/>
      <c r="F274" s="666"/>
      <c r="G274" s="386"/>
      <c r="H274" s="665" t="s">
        <v>1044</v>
      </c>
      <c r="I274" s="665"/>
      <c r="J274" s="665"/>
      <c r="K274" s="88"/>
    </row>
    <row r="275" spans="1:11" x14ac:dyDescent="0.25">
      <c r="A275" s="775" t="s">
        <v>705</v>
      </c>
      <c r="B275" s="776"/>
      <c r="C275" s="385"/>
      <c r="D275" s="389"/>
      <c r="E275" s="762" t="s">
        <v>706</v>
      </c>
      <c r="F275" s="776"/>
      <c r="G275" s="386"/>
      <c r="H275" s="775" t="s">
        <v>707</v>
      </c>
      <c r="I275" s="762"/>
      <c r="J275" s="776"/>
      <c r="K275" s="386"/>
    </row>
    <row r="276" spans="1:11" ht="9.9499999999999993" customHeight="1" x14ac:dyDescent="0.25"/>
    <row r="277" spans="1:11" x14ac:dyDescent="0.25">
      <c r="A277" s="786" t="s">
        <v>703</v>
      </c>
      <c r="B277" s="766"/>
      <c r="C277" s="377" t="str">
        <f>IF(OR($C278="",$C279="",$C280=""),"",40)</f>
        <v/>
      </c>
      <c r="D277" s="781" t="s">
        <v>1087</v>
      </c>
      <c r="E277" s="781"/>
      <c r="F277" s="780"/>
      <c r="G277" s="780"/>
      <c r="H277" s="383"/>
      <c r="I277" s="487" t="s">
        <v>880</v>
      </c>
      <c r="J277" s="773"/>
      <c r="K277" s="774"/>
    </row>
    <row r="278" spans="1:11" x14ac:dyDescent="0.25">
      <c r="A278" s="707" t="s">
        <v>14</v>
      </c>
      <c r="B278" s="693"/>
      <c r="C278" s="777"/>
      <c r="D278" s="778"/>
      <c r="E278" s="778"/>
      <c r="F278" s="778"/>
      <c r="G278" s="778"/>
      <c r="H278" s="778"/>
      <c r="I278" s="778"/>
      <c r="J278" s="778"/>
      <c r="K278" s="779"/>
    </row>
    <row r="279" spans="1:11" x14ac:dyDescent="0.25">
      <c r="A279" s="707" t="s">
        <v>483</v>
      </c>
      <c r="B279" s="693"/>
      <c r="C279" s="782"/>
      <c r="D279" s="783"/>
      <c r="E279" s="784"/>
      <c r="F279" s="785"/>
      <c r="G279" s="744" t="s">
        <v>484</v>
      </c>
      <c r="H279" s="744"/>
      <c r="I279" s="372" t="str">
        <f>IF(OR($C278="",$C279="",$C280=""),"","ND")</f>
        <v/>
      </c>
      <c r="J279" s="309" t="s">
        <v>482</v>
      </c>
      <c r="K279" s="375"/>
    </row>
    <row r="280" spans="1:11" x14ac:dyDescent="0.25">
      <c r="A280" s="707" t="s">
        <v>78</v>
      </c>
      <c r="B280" s="693"/>
      <c r="C280" s="777"/>
      <c r="D280" s="778"/>
      <c r="E280" s="779"/>
      <c r="F280" s="310" t="s">
        <v>134</v>
      </c>
      <c r="G280" s="220" t="str">
        <f>_xlfn.IFNA(VLOOKUP($C280,'Project Summary'!$N$131:$O$183,2,FALSE), "")</f>
        <v/>
      </c>
      <c r="H280" s="107"/>
      <c r="I280" s="311"/>
      <c r="J280" s="217"/>
      <c r="K280" s="180"/>
    </row>
    <row r="281" spans="1:11" x14ac:dyDescent="0.25">
      <c r="A281" s="664" t="s">
        <v>16</v>
      </c>
      <c r="B281" s="665"/>
      <c r="C281" s="376"/>
      <c r="D281" s="664" t="s">
        <v>1047</v>
      </c>
      <c r="E281" s="665"/>
      <c r="F281" s="666"/>
      <c r="G281" s="386"/>
      <c r="H281" s="665" t="s">
        <v>1044</v>
      </c>
      <c r="I281" s="665"/>
      <c r="J281" s="665"/>
      <c r="K281" s="88"/>
    </row>
    <row r="282" spans="1:11" x14ac:dyDescent="0.25">
      <c r="A282" s="775" t="s">
        <v>705</v>
      </c>
      <c r="B282" s="776"/>
      <c r="C282" s="385"/>
      <c r="D282" s="389"/>
      <c r="E282" s="762" t="s">
        <v>706</v>
      </c>
      <c r="F282" s="776"/>
      <c r="G282" s="386"/>
      <c r="H282" s="775" t="s">
        <v>707</v>
      </c>
      <c r="I282" s="762"/>
      <c r="J282" s="776"/>
      <c r="K282" s="386"/>
    </row>
    <row r="283" spans="1:11" ht="9.9499999999999993" customHeight="1" x14ac:dyDescent="0.25"/>
    <row r="284" spans="1:11" x14ac:dyDescent="0.25">
      <c r="A284" s="786" t="s">
        <v>703</v>
      </c>
      <c r="B284" s="766"/>
      <c r="C284" s="377" t="str">
        <f>IF(OR($C285="",$C286="",$C287=""),"",41)</f>
        <v/>
      </c>
      <c r="D284" s="781" t="s">
        <v>1087</v>
      </c>
      <c r="E284" s="781"/>
      <c r="F284" s="780"/>
      <c r="G284" s="780"/>
      <c r="H284" s="383"/>
      <c r="I284" s="487" t="s">
        <v>880</v>
      </c>
      <c r="J284" s="773"/>
      <c r="K284" s="774"/>
    </row>
    <row r="285" spans="1:11" x14ac:dyDescent="0.25">
      <c r="A285" s="707" t="s">
        <v>14</v>
      </c>
      <c r="B285" s="693"/>
      <c r="C285" s="777"/>
      <c r="D285" s="778"/>
      <c r="E285" s="778"/>
      <c r="F285" s="778"/>
      <c r="G285" s="778"/>
      <c r="H285" s="778"/>
      <c r="I285" s="778"/>
      <c r="J285" s="778"/>
      <c r="K285" s="779"/>
    </row>
    <row r="286" spans="1:11" x14ac:dyDescent="0.25">
      <c r="A286" s="707" t="s">
        <v>483</v>
      </c>
      <c r="B286" s="693"/>
      <c r="C286" s="782"/>
      <c r="D286" s="783"/>
      <c r="E286" s="784"/>
      <c r="F286" s="785"/>
      <c r="G286" s="744" t="s">
        <v>484</v>
      </c>
      <c r="H286" s="744"/>
      <c r="I286" s="372" t="str">
        <f>IF(OR($C285="",$C286="",$C287=""),"","ND")</f>
        <v/>
      </c>
      <c r="J286" s="309" t="s">
        <v>482</v>
      </c>
      <c r="K286" s="375"/>
    </row>
    <row r="287" spans="1:11" x14ac:dyDescent="0.25">
      <c r="A287" s="707" t="s">
        <v>78</v>
      </c>
      <c r="B287" s="693"/>
      <c r="C287" s="777"/>
      <c r="D287" s="778"/>
      <c r="E287" s="779"/>
      <c r="F287" s="310" t="s">
        <v>134</v>
      </c>
      <c r="G287" s="220" t="str">
        <f>_xlfn.IFNA(VLOOKUP($C287,'Project Summary'!$N$131:$O$183,2,FALSE), "")</f>
        <v/>
      </c>
      <c r="H287" s="107"/>
      <c r="I287" s="311"/>
      <c r="J287" s="217"/>
      <c r="K287" s="180"/>
    </row>
    <row r="288" spans="1:11" x14ac:dyDescent="0.25">
      <c r="A288" s="664" t="s">
        <v>16</v>
      </c>
      <c r="B288" s="665"/>
      <c r="C288" s="376"/>
      <c r="D288" s="664" t="s">
        <v>1047</v>
      </c>
      <c r="E288" s="665"/>
      <c r="F288" s="666"/>
      <c r="G288" s="386"/>
      <c r="H288" s="665" t="s">
        <v>1044</v>
      </c>
      <c r="I288" s="665"/>
      <c r="J288" s="665"/>
      <c r="K288" s="88"/>
    </row>
    <row r="289" spans="1:11" x14ac:dyDescent="0.25">
      <c r="A289" s="775" t="s">
        <v>705</v>
      </c>
      <c r="B289" s="776"/>
      <c r="C289" s="385"/>
      <c r="D289" s="389"/>
      <c r="E289" s="762" t="s">
        <v>706</v>
      </c>
      <c r="F289" s="776"/>
      <c r="G289" s="386"/>
      <c r="H289" s="775" t="s">
        <v>707</v>
      </c>
      <c r="I289" s="762"/>
      <c r="J289" s="776"/>
      <c r="K289" s="386"/>
    </row>
    <row r="290" spans="1:11" ht="9.9499999999999993" customHeight="1" x14ac:dyDescent="0.25"/>
    <row r="291" spans="1:11" x14ac:dyDescent="0.25">
      <c r="A291" s="786" t="s">
        <v>703</v>
      </c>
      <c r="B291" s="766"/>
      <c r="C291" s="377" t="str">
        <f>IF(OR($C292="",$C293="",$C294=""),"",42)</f>
        <v/>
      </c>
      <c r="D291" s="781" t="s">
        <v>1087</v>
      </c>
      <c r="E291" s="781"/>
      <c r="F291" s="780"/>
      <c r="G291" s="780"/>
      <c r="H291" s="383"/>
      <c r="I291" s="487" t="s">
        <v>880</v>
      </c>
      <c r="J291" s="773"/>
      <c r="K291" s="774"/>
    </row>
    <row r="292" spans="1:11" x14ac:dyDescent="0.25">
      <c r="A292" s="707" t="s">
        <v>14</v>
      </c>
      <c r="B292" s="693"/>
      <c r="C292" s="777"/>
      <c r="D292" s="778"/>
      <c r="E292" s="778"/>
      <c r="F292" s="778"/>
      <c r="G292" s="778"/>
      <c r="H292" s="778"/>
      <c r="I292" s="778"/>
      <c r="J292" s="778"/>
      <c r="K292" s="779"/>
    </row>
    <row r="293" spans="1:11" x14ac:dyDescent="0.25">
      <c r="A293" s="707" t="s">
        <v>483</v>
      </c>
      <c r="B293" s="693"/>
      <c r="C293" s="782"/>
      <c r="D293" s="783"/>
      <c r="E293" s="784"/>
      <c r="F293" s="785"/>
      <c r="G293" s="744" t="s">
        <v>484</v>
      </c>
      <c r="H293" s="744"/>
      <c r="I293" s="372" t="str">
        <f>IF(OR($C292="",$C293="",$C294=""),"","ND")</f>
        <v/>
      </c>
      <c r="J293" s="309" t="s">
        <v>482</v>
      </c>
      <c r="K293" s="375"/>
    </row>
    <row r="294" spans="1:11" x14ac:dyDescent="0.25">
      <c r="A294" s="707" t="s">
        <v>78</v>
      </c>
      <c r="B294" s="693"/>
      <c r="C294" s="777"/>
      <c r="D294" s="778"/>
      <c r="E294" s="779"/>
      <c r="F294" s="310" t="s">
        <v>134</v>
      </c>
      <c r="G294" s="220" t="str">
        <f>_xlfn.IFNA(VLOOKUP($C294,'Project Summary'!$N$131:$O$183,2,FALSE), "")</f>
        <v/>
      </c>
      <c r="H294" s="107"/>
      <c r="I294" s="311"/>
      <c r="J294" s="217"/>
      <c r="K294" s="180"/>
    </row>
    <row r="295" spans="1:11" x14ac:dyDescent="0.25">
      <c r="A295" s="664" t="s">
        <v>16</v>
      </c>
      <c r="B295" s="665"/>
      <c r="C295" s="376"/>
      <c r="D295" s="664" t="s">
        <v>1047</v>
      </c>
      <c r="E295" s="665"/>
      <c r="F295" s="666"/>
      <c r="G295" s="386"/>
      <c r="H295" s="665" t="s">
        <v>1044</v>
      </c>
      <c r="I295" s="665"/>
      <c r="J295" s="665"/>
      <c r="K295" s="88"/>
    </row>
    <row r="296" spans="1:11" x14ac:dyDescent="0.25">
      <c r="A296" s="775" t="s">
        <v>705</v>
      </c>
      <c r="B296" s="776"/>
      <c r="C296" s="385"/>
      <c r="D296" s="389"/>
      <c r="E296" s="762" t="s">
        <v>706</v>
      </c>
      <c r="F296" s="776"/>
      <c r="G296" s="386"/>
      <c r="H296" s="775" t="s">
        <v>707</v>
      </c>
      <c r="I296" s="762"/>
      <c r="J296" s="776"/>
      <c r="K296" s="386"/>
    </row>
    <row r="297" spans="1:11" ht="9.9499999999999993" customHeight="1" x14ac:dyDescent="0.25"/>
  </sheetData>
  <sheetProtection algorithmName="SHA-512" hashValue="6R/T0YFO5zi4OK4ddGWRiNepJ6+C1cjveLdocGIM+ZnqgNbhKDnArIJMISTJoB+FPFRKlwD+v/QH0DfTpvYS0A==" saltValue="XRVB+NCmOMIOwp1INlrNNg==" spinCount="100000" sheet="1" objects="1" scenarios="1"/>
  <mergeCells count="717">
    <mergeCell ref="A100:B100"/>
    <mergeCell ref="E100:F100"/>
    <mergeCell ref="H100:J100"/>
    <mergeCell ref="A96:B96"/>
    <mergeCell ref="C96:K96"/>
    <mergeCell ref="A97:B97"/>
    <mergeCell ref="C97:F97"/>
    <mergeCell ref="G97:H97"/>
    <mergeCell ref="A98:B98"/>
    <mergeCell ref="C98:E98"/>
    <mergeCell ref="A99:B99"/>
    <mergeCell ref="H99:J99"/>
    <mergeCell ref="A61:B61"/>
    <mergeCell ref="F60:G60"/>
    <mergeCell ref="D60:E60"/>
    <mergeCell ref="A60:B60"/>
    <mergeCell ref="H58:J58"/>
    <mergeCell ref="E58:F58"/>
    <mergeCell ref="A58:B58"/>
    <mergeCell ref="A95:B95"/>
    <mergeCell ref="D95:E95"/>
    <mergeCell ref="F95:G95"/>
    <mergeCell ref="H65:J65"/>
    <mergeCell ref="E65:F65"/>
    <mergeCell ref="A65:B65"/>
    <mergeCell ref="H64:J64"/>
    <mergeCell ref="A64:B64"/>
    <mergeCell ref="C63:E63"/>
    <mergeCell ref="A63:B63"/>
    <mergeCell ref="G62:H62"/>
    <mergeCell ref="C62:F62"/>
    <mergeCell ref="A62:B62"/>
    <mergeCell ref="C70:E70"/>
    <mergeCell ref="A70:B70"/>
    <mergeCell ref="G69:H69"/>
    <mergeCell ref="A68:B68"/>
    <mergeCell ref="A76:B76"/>
    <mergeCell ref="C69:F69"/>
    <mergeCell ref="A69:B69"/>
    <mergeCell ref="F67:G67"/>
    <mergeCell ref="D67:E67"/>
    <mergeCell ref="A67:B67"/>
    <mergeCell ref="C75:K75"/>
    <mergeCell ref="A75:B75"/>
    <mergeCell ref="F74:G74"/>
    <mergeCell ref="D74:E74"/>
    <mergeCell ref="A74:B74"/>
    <mergeCell ref="H72:J72"/>
    <mergeCell ref="E72:F72"/>
    <mergeCell ref="A72:B72"/>
    <mergeCell ref="H71:J71"/>
    <mergeCell ref="A71:B71"/>
    <mergeCell ref="A82:B82"/>
    <mergeCell ref="F81:G81"/>
    <mergeCell ref="D81:E81"/>
    <mergeCell ref="A81:B81"/>
    <mergeCell ref="A79:B79"/>
    <mergeCell ref="H78:J78"/>
    <mergeCell ref="A78:B78"/>
    <mergeCell ref="C77:E77"/>
    <mergeCell ref="A77:B77"/>
    <mergeCell ref="A88:B88"/>
    <mergeCell ref="H86:J86"/>
    <mergeCell ref="E86:F86"/>
    <mergeCell ref="A86:B86"/>
    <mergeCell ref="H85:J85"/>
    <mergeCell ref="A85:B85"/>
    <mergeCell ref="A84:B84"/>
    <mergeCell ref="G83:H83"/>
    <mergeCell ref="C83:F83"/>
    <mergeCell ref="A83:B83"/>
    <mergeCell ref="A93:B93"/>
    <mergeCell ref="H92:J92"/>
    <mergeCell ref="A92:B92"/>
    <mergeCell ref="C91:E91"/>
    <mergeCell ref="A91:B91"/>
    <mergeCell ref="G90:H90"/>
    <mergeCell ref="C90:F90"/>
    <mergeCell ref="A90:B90"/>
    <mergeCell ref="A89:B89"/>
    <mergeCell ref="A51:B51"/>
    <mergeCell ref="E51:F51"/>
    <mergeCell ref="H51:J51"/>
    <mergeCell ref="A56:B56"/>
    <mergeCell ref="C56:E56"/>
    <mergeCell ref="A57:B57"/>
    <mergeCell ref="H57:J57"/>
    <mergeCell ref="A53:B53"/>
    <mergeCell ref="A46:B46"/>
    <mergeCell ref="D53:E53"/>
    <mergeCell ref="F53:G53"/>
    <mergeCell ref="A54:B54"/>
    <mergeCell ref="C54:K54"/>
    <mergeCell ref="A55:B55"/>
    <mergeCell ref="C55:F55"/>
    <mergeCell ref="G55:H55"/>
    <mergeCell ref="A49:B49"/>
    <mergeCell ref="C49:E49"/>
    <mergeCell ref="A50:B50"/>
    <mergeCell ref="H50:J50"/>
    <mergeCell ref="A47:B47"/>
    <mergeCell ref="C47:K47"/>
    <mergeCell ref="A48:B48"/>
    <mergeCell ref="C48:F48"/>
    <mergeCell ref="G48:H48"/>
    <mergeCell ref="D46:E46"/>
    <mergeCell ref="F46:G46"/>
    <mergeCell ref="A42:B42"/>
    <mergeCell ref="C42:E42"/>
    <mergeCell ref="A43:B43"/>
    <mergeCell ref="H43:J43"/>
    <mergeCell ref="A44:B44"/>
    <mergeCell ref="E44:F44"/>
    <mergeCell ref="H44:J44"/>
    <mergeCell ref="J46:K46"/>
    <mergeCell ref="D43:F43"/>
    <mergeCell ref="A40:B40"/>
    <mergeCell ref="C40:K40"/>
    <mergeCell ref="A41:B41"/>
    <mergeCell ref="C41:F41"/>
    <mergeCell ref="G41:H41"/>
    <mergeCell ref="A39:B39"/>
    <mergeCell ref="A35:B35"/>
    <mergeCell ref="C35:E35"/>
    <mergeCell ref="A36:B36"/>
    <mergeCell ref="H36:J36"/>
    <mergeCell ref="A33:B33"/>
    <mergeCell ref="C33:K33"/>
    <mergeCell ref="A34:B34"/>
    <mergeCell ref="C34:F34"/>
    <mergeCell ref="G34:H34"/>
    <mergeCell ref="D39:E39"/>
    <mergeCell ref="F39:G39"/>
    <mergeCell ref="A37:B37"/>
    <mergeCell ref="E37:F37"/>
    <mergeCell ref="H37:J37"/>
    <mergeCell ref="J39:K39"/>
    <mergeCell ref="D36:F36"/>
    <mergeCell ref="A32:B32"/>
    <mergeCell ref="A28:B28"/>
    <mergeCell ref="C28:E28"/>
    <mergeCell ref="A29:B29"/>
    <mergeCell ref="H29:J29"/>
    <mergeCell ref="A26:B26"/>
    <mergeCell ref="C26:K26"/>
    <mergeCell ref="A27:B27"/>
    <mergeCell ref="C27:F27"/>
    <mergeCell ref="G27:H27"/>
    <mergeCell ref="D32:E32"/>
    <mergeCell ref="F32:G32"/>
    <mergeCell ref="A30:B30"/>
    <mergeCell ref="E30:F30"/>
    <mergeCell ref="H30:J30"/>
    <mergeCell ref="J32:K32"/>
    <mergeCell ref="D29:F29"/>
    <mergeCell ref="A25:B25"/>
    <mergeCell ref="D25:E25"/>
    <mergeCell ref="A20:B20"/>
    <mergeCell ref="C20:F20"/>
    <mergeCell ref="G20:H20"/>
    <mergeCell ref="A21:B21"/>
    <mergeCell ref="C21:E21"/>
    <mergeCell ref="A22:B22"/>
    <mergeCell ref="H22:J22"/>
    <mergeCell ref="F25:G25"/>
    <mergeCell ref="A23:B23"/>
    <mergeCell ref="E23:F23"/>
    <mergeCell ref="H23:J23"/>
    <mergeCell ref="J25:K25"/>
    <mergeCell ref="D22:F22"/>
    <mergeCell ref="A15:B15"/>
    <mergeCell ref="H15:J15"/>
    <mergeCell ref="A19:B19"/>
    <mergeCell ref="C19:K19"/>
    <mergeCell ref="A18:B18"/>
    <mergeCell ref="A12:B12"/>
    <mergeCell ref="C12:K12"/>
    <mergeCell ref="A13:B13"/>
    <mergeCell ref="C13:F13"/>
    <mergeCell ref="G13:H13"/>
    <mergeCell ref="A14:B14"/>
    <mergeCell ref="C14:E14"/>
    <mergeCell ref="D18:E18"/>
    <mergeCell ref="F18:G18"/>
    <mergeCell ref="A16:B16"/>
    <mergeCell ref="E16:F16"/>
    <mergeCell ref="H16:J16"/>
    <mergeCell ref="J18:K18"/>
    <mergeCell ref="D15:F15"/>
    <mergeCell ref="A4:B4"/>
    <mergeCell ref="A11:B11"/>
    <mergeCell ref="A8:B8"/>
    <mergeCell ref="H8:J8"/>
    <mergeCell ref="A1:K1"/>
    <mergeCell ref="J2:K2"/>
    <mergeCell ref="H2:I2"/>
    <mergeCell ref="A2:B2"/>
    <mergeCell ref="C2:G2"/>
    <mergeCell ref="A5:B5"/>
    <mergeCell ref="C5:K5"/>
    <mergeCell ref="A6:B6"/>
    <mergeCell ref="C6:F6"/>
    <mergeCell ref="G6:H6"/>
    <mergeCell ref="A7:B7"/>
    <mergeCell ref="C7:E7"/>
    <mergeCell ref="D4:E4"/>
    <mergeCell ref="F4:G4"/>
    <mergeCell ref="D11:E11"/>
    <mergeCell ref="F11:G11"/>
    <mergeCell ref="A9:B9"/>
    <mergeCell ref="H9:J9"/>
    <mergeCell ref="J4:K4"/>
    <mergeCell ref="J11:K11"/>
    <mergeCell ref="A102:B102"/>
    <mergeCell ref="D102:E102"/>
    <mergeCell ref="F102:G102"/>
    <mergeCell ref="A103:B103"/>
    <mergeCell ref="C103:K103"/>
    <mergeCell ref="A104:B104"/>
    <mergeCell ref="C104:F104"/>
    <mergeCell ref="G104:H104"/>
    <mergeCell ref="A105:B105"/>
    <mergeCell ref="C105:E105"/>
    <mergeCell ref="A106:B106"/>
    <mergeCell ref="H106:J106"/>
    <mergeCell ref="A107:B107"/>
    <mergeCell ref="E107:F107"/>
    <mergeCell ref="H107:J107"/>
    <mergeCell ref="A109:B109"/>
    <mergeCell ref="D109:E109"/>
    <mergeCell ref="F109:G109"/>
    <mergeCell ref="A110:B110"/>
    <mergeCell ref="C110:K110"/>
    <mergeCell ref="A111:B111"/>
    <mergeCell ref="C111:F111"/>
    <mergeCell ref="G111:H111"/>
    <mergeCell ref="A112:B112"/>
    <mergeCell ref="C112:E112"/>
    <mergeCell ref="A113:B113"/>
    <mergeCell ref="H113:J113"/>
    <mergeCell ref="A114:B114"/>
    <mergeCell ref="E114:F114"/>
    <mergeCell ref="H114:J114"/>
    <mergeCell ref="D113:F113"/>
    <mergeCell ref="A116:B116"/>
    <mergeCell ref="D116:E116"/>
    <mergeCell ref="F116:G116"/>
    <mergeCell ref="A117:B117"/>
    <mergeCell ref="C117:K117"/>
    <mergeCell ref="A118:B118"/>
    <mergeCell ref="C118:F118"/>
    <mergeCell ref="G118:H118"/>
    <mergeCell ref="A119:B119"/>
    <mergeCell ref="C119:E119"/>
    <mergeCell ref="J116:K116"/>
    <mergeCell ref="A120:B120"/>
    <mergeCell ref="H120:J120"/>
    <mergeCell ref="A121:B121"/>
    <mergeCell ref="E121:F121"/>
    <mergeCell ref="H121:J121"/>
    <mergeCell ref="A123:B123"/>
    <mergeCell ref="D123:E123"/>
    <mergeCell ref="F123:G123"/>
    <mergeCell ref="A124:B124"/>
    <mergeCell ref="C124:K124"/>
    <mergeCell ref="J123:K123"/>
    <mergeCell ref="D120:F120"/>
    <mergeCell ref="A125:B125"/>
    <mergeCell ref="C125:F125"/>
    <mergeCell ref="G125:H125"/>
    <mergeCell ref="A126:B126"/>
    <mergeCell ref="C126:E126"/>
    <mergeCell ref="A127:B127"/>
    <mergeCell ref="H127:J127"/>
    <mergeCell ref="A128:B128"/>
    <mergeCell ref="E128:F128"/>
    <mergeCell ref="H128:J128"/>
    <mergeCell ref="D127:F127"/>
    <mergeCell ref="A130:B130"/>
    <mergeCell ref="D130:E130"/>
    <mergeCell ref="F130:G130"/>
    <mergeCell ref="A131:B131"/>
    <mergeCell ref="C131:K131"/>
    <mergeCell ref="A132:B132"/>
    <mergeCell ref="C132:F132"/>
    <mergeCell ref="G132:H132"/>
    <mergeCell ref="A133:B133"/>
    <mergeCell ref="C133:E133"/>
    <mergeCell ref="J130:K130"/>
    <mergeCell ref="A134:B134"/>
    <mergeCell ref="H134:J134"/>
    <mergeCell ref="A135:B135"/>
    <mergeCell ref="E135:F135"/>
    <mergeCell ref="H135:J135"/>
    <mergeCell ref="A137:B137"/>
    <mergeCell ref="D137:E137"/>
    <mergeCell ref="F137:G137"/>
    <mergeCell ref="A138:B138"/>
    <mergeCell ref="C138:K138"/>
    <mergeCell ref="J137:K137"/>
    <mergeCell ref="D134:F134"/>
    <mergeCell ref="A139:B139"/>
    <mergeCell ref="C139:F139"/>
    <mergeCell ref="G139:H139"/>
    <mergeCell ref="A140:B140"/>
    <mergeCell ref="C140:E140"/>
    <mergeCell ref="A141:B141"/>
    <mergeCell ref="H141:J141"/>
    <mergeCell ref="A142:B142"/>
    <mergeCell ref="E142:F142"/>
    <mergeCell ref="H142:J142"/>
    <mergeCell ref="D141:F141"/>
    <mergeCell ref="A144:B144"/>
    <mergeCell ref="D144:E144"/>
    <mergeCell ref="F144:G144"/>
    <mergeCell ref="A145:B145"/>
    <mergeCell ref="C145:K145"/>
    <mergeCell ref="A146:B146"/>
    <mergeCell ref="C146:F146"/>
    <mergeCell ref="G146:H146"/>
    <mergeCell ref="A147:B147"/>
    <mergeCell ref="C147:E147"/>
    <mergeCell ref="J144:K144"/>
    <mergeCell ref="A148:B148"/>
    <mergeCell ref="H148:J148"/>
    <mergeCell ref="A149:B149"/>
    <mergeCell ref="E149:F149"/>
    <mergeCell ref="H149:J149"/>
    <mergeCell ref="A151:B151"/>
    <mergeCell ref="D151:E151"/>
    <mergeCell ref="F151:G151"/>
    <mergeCell ref="A152:B152"/>
    <mergeCell ref="C152:K152"/>
    <mergeCell ref="J151:K151"/>
    <mergeCell ref="D148:F148"/>
    <mergeCell ref="A153:B153"/>
    <mergeCell ref="C153:F153"/>
    <mergeCell ref="G153:H153"/>
    <mergeCell ref="A154:B154"/>
    <mergeCell ref="C154:E154"/>
    <mergeCell ref="A155:B155"/>
    <mergeCell ref="H155:J155"/>
    <mergeCell ref="A156:B156"/>
    <mergeCell ref="E156:F156"/>
    <mergeCell ref="H156:J156"/>
    <mergeCell ref="D155:F155"/>
    <mergeCell ref="A158:B158"/>
    <mergeCell ref="D158:E158"/>
    <mergeCell ref="F158:G158"/>
    <mergeCell ref="A159:B159"/>
    <mergeCell ref="C159:K159"/>
    <mergeCell ref="A160:B160"/>
    <mergeCell ref="C160:F160"/>
    <mergeCell ref="G160:H160"/>
    <mergeCell ref="A161:B161"/>
    <mergeCell ref="C161:E161"/>
    <mergeCell ref="J158:K158"/>
    <mergeCell ref="A162:B162"/>
    <mergeCell ref="H162:J162"/>
    <mergeCell ref="A163:B163"/>
    <mergeCell ref="E163:F163"/>
    <mergeCell ref="H163:J163"/>
    <mergeCell ref="A165:B165"/>
    <mergeCell ref="D165:E165"/>
    <mergeCell ref="F165:G165"/>
    <mergeCell ref="A166:B166"/>
    <mergeCell ref="C166:K166"/>
    <mergeCell ref="J165:K165"/>
    <mergeCell ref="D162:F162"/>
    <mergeCell ref="A167:B167"/>
    <mergeCell ref="C167:F167"/>
    <mergeCell ref="G167:H167"/>
    <mergeCell ref="A168:B168"/>
    <mergeCell ref="C168:E168"/>
    <mergeCell ref="A169:B169"/>
    <mergeCell ref="H169:J169"/>
    <mergeCell ref="A170:B170"/>
    <mergeCell ref="E170:F170"/>
    <mergeCell ref="H170:J170"/>
    <mergeCell ref="D169:F169"/>
    <mergeCell ref="A172:B172"/>
    <mergeCell ref="D172:E172"/>
    <mergeCell ref="F172:G172"/>
    <mergeCell ref="A173:B173"/>
    <mergeCell ref="C173:K173"/>
    <mergeCell ref="A174:B174"/>
    <mergeCell ref="C174:F174"/>
    <mergeCell ref="G174:H174"/>
    <mergeCell ref="A175:B175"/>
    <mergeCell ref="C175:E175"/>
    <mergeCell ref="J172:K172"/>
    <mergeCell ref="A176:B176"/>
    <mergeCell ref="H176:J176"/>
    <mergeCell ref="A177:B177"/>
    <mergeCell ref="E177:F177"/>
    <mergeCell ref="H177:J177"/>
    <mergeCell ref="A179:B179"/>
    <mergeCell ref="D179:E179"/>
    <mergeCell ref="F179:G179"/>
    <mergeCell ref="A180:B180"/>
    <mergeCell ref="C180:K180"/>
    <mergeCell ref="J179:K179"/>
    <mergeCell ref="D176:F176"/>
    <mergeCell ref="A181:B181"/>
    <mergeCell ref="C181:F181"/>
    <mergeCell ref="G181:H181"/>
    <mergeCell ref="A182:B182"/>
    <mergeCell ref="C182:E182"/>
    <mergeCell ref="A183:B183"/>
    <mergeCell ref="H183:J183"/>
    <mergeCell ref="A184:B184"/>
    <mergeCell ref="E184:F184"/>
    <mergeCell ref="H184:J184"/>
    <mergeCell ref="D183:F183"/>
    <mergeCell ref="A186:B186"/>
    <mergeCell ref="D186:E186"/>
    <mergeCell ref="F186:G186"/>
    <mergeCell ref="A187:B187"/>
    <mergeCell ref="C187:K187"/>
    <mergeCell ref="A188:B188"/>
    <mergeCell ref="C188:F188"/>
    <mergeCell ref="G188:H188"/>
    <mergeCell ref="A189:B189"/>
    <mergeCell ref="C189:E189"/>
    <mergeCell ref="J186:K186"/>
    <mergeCell ref="A190:B190"/>
    <mergeCell ref="H190:J190"/>
    <mergeCell ref="A191:B191"/>
    <mergeCell ref="E191:F191"/>
    <mergeCell ref="H191:J191"/>
    <mergeCell ref="A193:B193"/>
    <mergeCell ref="D193:E193"/>
    <mergeCell ref="F193:G193"/>
    <mergeCell ref="A194:B194"/>
    <mergeCell ref="C194:K194"/>
    <mergeCell ref="J193:K193"/>
    <mergeCell ref="D190:F190"/>
    <mergeCell ref="A195:B195"/>
    <mergeCell ref="C195:F195"/>
    <mergeCell ref="G195:H195"/>
    <mergeCell ref="A196:B196"/>
    <mergeCell ref="C196:E196"/>
    <mergeCell ref="A197:B197"/>
    <mergeCell ref="H197:J197"/>
    <mergeCell ref="A198:B198"/>
    <mergeCell ref="E198:F198"/>
    <mergeCell ref="H198:J198"/>
    <mergeCell ref="D197:F197"/>
    <mergeCell ref="A200:B200"/>
    <mergeCell ref="D200:E200"/>
    <mergeCell ref="F200:G200"/>
    <mergeCell ref="A201:B201"/>
    <mergeCell ref="C201:K201"/>
    <mergeCell ref="A202:B202"/>
    <mergeCell ref="C202:F202"/>
    <mergeCell ref="G202:H202"/>
    <mergeCell ref="A203:B203"/>
    <mergeCell ref="C203:E203"/>
    <mergeCell ref="J200:K200"/>
    <mergeCell ref="A204:B204"/>
    <mergeCell ref="H204:J204"/>
    <mergeCell ref="A205:B205"/>
    <mergeCell ref="E205:F205"/>
    <mergeCell ref="H205:J205"/>
    <mergeCell ref="A207:B207"/>
    <mergeCell ref="D207:E207"/>
    <mergeCell ref="F207:G207"/>
    <mergeCell ref="A208:B208"/>
    <mergeCell ref="C208:K208"/>
    <mergeCell ref="J207:K207"/>
    <mergeCell ref="D204:F204"/>
    <mergeCell ref="A209:B209"/>
    <mergeCell ref="C209:F209"/>
    <mergeCell ref="G209:H209"/>
    <mergeCell ref="A210:B210"/>
    <mergeCell ref="C210:E210"/>
    <mergeCell ref="A211:B211"/>
    <mergeCell ref="H211:J211"/>
    <mergeCell ref="A212:B212"/>
    <mergeCell ref="E212:F212"/>
    <mergeCell ref="H212:J212"/>
    <mergeCell ref="D211:F211"/>
    <mergeCell ref="A214:B214"/>
    <mergeCell ref="D214:E214"/>
    <mergeCell ref="F214:G214"/>
    <mergeCell ref="A215:B215"/>
    <mergeCell ref="C215:K215"/>
    <mergeCell ref="A216:B216"/>
    <mergeCell ref="C216:F216"/>
    <mergeCell ref="G216:H216"/>
    <mergeCell ref="A217:B217"/>
    <mergeCell ref="C217:E217"/>
    <mergeCell ref="J214:K214"/>
    <mergeCell ref="A218:B218"/>
    <mergeCell ref="H218:J218"/>
    <mergeCell ref="A219:B219"/>
    <mergeCell ref="E219:F219"/>
    <mergeCell ref="H219:J219"/>
    <mergeCell ref="A221:B221"/>
    <mergeCell ref="D221:E221"/>
    <mergeCell ref="F221:G221"/>
    <mergeCell ref="A222:B222"/>
    <mergeCell ref="C222:K222"/>
    <mergeCell ref="J221:K221"/>
    <mergeCell ref="D218:F218"/>
    <mergeCell ref="A223:B223"/>
    <mergeCell ref="C223:F223"/>
    <mergeCell ref="G223:H223"/>
    <mergeCell ref="A224:B224"/>
    <mergeCell ref="C224:E224"/>
    <mergeCell ref="A225:B225"/>
    <mergeCell ref="H225:J225"/>
    <mergeCell ref="A226:B226"/>
    <mergeCell ref="E226:F226"/>
    <mergeCell ref="H226:J226"/>
    <mergeCell ref="D225:F225"/>
    <mergeCell ref="A228:B228"/>
    <mergeCell ref="D228:E228"/>
    <mergeCell ref="F228:G228"/>
    <mergeCell ref="A229:B229"/>
    <mergeCell ref="C229:K229"/>
    <mergeCell ref="A230:B230"/>
    <mergeCell ref="C230:F230"/>
    <mergeCell ref="G230:H230"/>
    <mergeCell ref="A231:B231"/>
    <mergeCell ref="C231:E231"/>
    <mergeCell ref="J228:K228"/>
    <mergeCell ref="A232:B232"/>
    <mergeCell ref="H232:J232"/>
    <mergeCell ref="A233:B233"/>
    <mergeCell ref="E233:F233"/>
    <mergeCell ref="H233:J233"/>
    <mergeCell ref="A235:B235"/>
    <mergeCell ref="D235:E235"/>
    <mergeCell ref="F235:G235"/>
    <mergeCell ref="A236:B236"/>
    <mergeCell ref="C236:K236"/>
    <mergeCell ref="J235:K235"/>
    <mergeCell ref="D232:F232"/>
    <mergeCell ref="A237:B237"/>
    <mergeCell ref="C237:F237"/>
    <mergeCell ref="G237:H237"/>
    <mergeCell ref="A238:B238"/>
    <mergeCell ref="C238:E238"/>
    <mergeCell ref="A239:B239"/>
    <mergeCell ref="H239:J239"/>
    <mergeCell ref="A240:B240"/>
    <mergeCell ref="E240:F240"/>
    <mergeCell ref="H240:J240"/>
    <mergeCell ref="D239:F239"/>
    <mergeCell ref="A242:B242"/>
    <mergeCell ref="D242:E242"/>
    <mergeCell ref="F242:G242"/>
    <mergeCell ref="A243:B243"/>
    <mergeCell ref="C243:K243"/>
    <mergeCell ref="A244:B244"/>
    <mergeCell ref="C244:F244"/>
    <mergeCell ref="G244:H244"/>
    <mergeCell ref="A245:B245"/>
    <mergeCell ref="C245:E245"/>
    <mergeCell ref="J242:K242"/>
    <mergeCell ref="A246:B246"/>
    <mergeCell ref="H246:J246"/>
    <mergeCell ref="A247:B247"/>
    <mergeCell ref="E247:F247"/>
    <mergeCell ref="H247:J247"/>
    <mergeCell ref="A249:B249"/>
    <mergeCell ref="D249:E249"/>
    <mergeCell ref="F249:G249"/>
    <mergeCell ref="A250:B250"/>
    <mergeCell ref="C250:K250"/>
    <mergeCell ref="J249:K249"/>
    <mergeCell ref="D246:F246"/>
    <mergeCell ref="A251:B251"/>
    <mergeCell ref="C251:F251"/>
    <mergeCell ref="G251:H251"/>
    <mergeCell ref="A252:B252"/>
    <mergeCell ref="C252:E252"/>
    <mergeCell ref="A253:B253"/>
    <mergeCell ref="H253:J253"/>
    <mergeCell ref="A254:B254"/>
    <mergeCell ref="E254:F254"/>
    <mergeCell ref="H254:J254"/>
    <mergeCell ref="D253:F253"/>
    <mergeCell ref="A256:B256"/>
    <mergeCell ref="D256:E256"/>
    <mergeCell ref="F256:G256"/>
    <mergeCell ref="A257:B257"/>
    <mergeCell ref="C257:K257"/>
    <mergeCell ref="A258:B258"/>
    <mergeCell ref="C258:F258"/>
    <mergeCell ref="G258:H258"/>
    <mergeCell ref="A259:B259"/>
    <mergeCell ref="C259:E259"/>
    <mergeCell ref="J256:K256"/>
    <mergeCell ref="A260:B260"/>
    <mergeCell ref="H260:J260"/>
    <mergeCell ref="A261:B261"/>
    <mergeCell ref="E261:F261"/>
    <mergeCell ref="H261:J261"/>
    <mergeCell ref="A263:B263"/>
    <mergeCell ref="D263:E263"/>
    <mergeCell ref="F263:G263"/>
    <mergeCell ref="A264:B264"/>
    <mergeCell ref="C264:K264"/>
    <mergeCell ref="J263:K263"/>
    <mergeCell ref="D260:F260"/>
    <mergeCell ref="A265:B265"/>
    <mergeCell ref="C265:F265"/>
    <mergeCell ref="G265:H265"/>
    <mergeCell ref="A266:B266"/>
    <mergeCell ref="C266:E266"/>
    <mergeCell ref="A267:B267"/>
    <mergeCell ref="H267:J267"/>
    <mergeCell ref="A268:B268"/>
    <mergeCell ref="E268:F268"/>
    <mergeCell ref="H268:J268"/>
    <mergeCell ref="D267:F267"/>
    <mergeCell ref="A270:B270"/>
    <mergeCell ref="D270:E270"/>
    <mergeCell ref="F270:G270"/>
    <mergeCell ref="A271:B271"/>
    <mergeCell ref="C271:K271"/>
    <mergeCell ref="A272:B272"/>
    <mergeCell ref="C272:F272"/>
    <mergeCell ref="G272:H272"/>
    <mergeCell ref="A273:B273"/>
    <mergeCell ref="C273:E273"/>
    <mergeCell ref="J270:K270"/>
    <mergeCell ref="A274:B274"/>
    <mergeCell ref="H274:J274"/>
    <mergeCell ref="A275:B275"/>
    <mergeCell ref="E275:F275"/>
    <mergeCell ref="H275:J275"/>
    <mergeCell ref="A277:B277"/>
    <mergeCell ref="D277:E277"/>
    <mergeCell ref="F277:G277"/>
    <mergeCell ref="A278:B278"/>
    <mergeCell ref="C278:K278"/>
    <mergeCell ref="J277:K277"/>
    <mergeCell ref="D274:F274"/>
    <mergeCell ref="A279:B279"/>
    <mergeCell ref="C279:F279"/>
    <mergeCell ref="G279:H279"/>
    <mergeCell ref="A280:B280"/>
    <mergeCell ref="C280:E280"/>
    <mergeCell ref="A281:B281"/>
    <mergeCell ref="H281:J281"/>
    <mergeCell ref="A282:B282"/>
    <mergeCell ref="E282:F282"/>
    <mergeCell ref="H282:J282"/>
    <mergeCell ref="D281:F281"/>
    <mergeCell ref="A284:B284"/>
    <mergeCell ref="D284:E284"/>
    <mergeCell ref="F284:G284"/>
    <mergeCell ref="A285:B285"/>
    <mergeCell ref="C285:K285"/>
    <mergeCell ref="A286:B286"/>
    <mergeCell ref="C286:F286"/>
    <mergeCell ref="G286:H286"/>
    <mergeCell ref="A287:B287"/>
    <mergeCell ref="C287:E287"/>
    <mergeCell ref="J284:K284"/>
    <mergeCell ref="A288:B288"/>
    <mergeCell ref="H288:J288"/>
    <mergeCell ref="A289:B289"/>
    <mergeCell ref="E289:F289"/>
    <mergeCell ref="H289:J289"/>
    <mergeCell ref="A291:B291"/>
    <mergeCell ref="D291:E291"/>
    <mergeCell ref="F291:G291"/>
    <mergeCell ref="A292:B292"/>
    <mergeCell ref="C292:K292"/>
    <mergeCell ref="J291:K291"/>
    <mergeCell ref="D288:F288"/>
    <mergeCell ref="A293:B293"/>
    <mergeCell ref="C293:F293"/>
    <mergeCell ref="G293:H293"/>
    <mergeCell ref="A294:B294"/>
    <mergeCell ref="C294:E294"/>
    <mergeCell ref="A295:B295"/>
    <mergeCell ref="H295:J295"/>
    <mergeCell ref="A296:B296"/>
    <mergeCell ref="E296:F296"/>
    <mergeCell ref="H296:J296"/>
    <mergeCell ref="D295:F295"/>
    <mergeCell ref="J53:K53"/>
    <mergeCell ref="J60:K60"/>
    <mergeCell ref="J67:K67"/>
    <mergeCell ref="J74:K74"/>
    <mergeCell ref="J81:K81"/>
    <mergeCell ref="J88:K88"/>
    <mergeCell ref="J95:K95"/>
    <mergeCell ref="J102:K102"/>
    <mergeCell ref="J109:K109"/>
    <mergeCell ref="H93:J93"/>
    <mergeCell ref="C89:K89"/>
    <mergeCell ref="C84:E84"/>
    <mergeCell ref="H79:J79"/>
    <mergeCell ref="E79:F79"/>
    <mergeCell ref="C68:K68"/>
    <mergeCell ref="C61:K61"/>
    <mergeCell ref="E93:F93"/>
    <mergeCell ref="F88:G88"/>
    <mergeCell ref="D88:E88"/>
    <mergeCell ref="C82:K82"/>
    <mergeCell ref="G76:H76"/>
    <mergeCell ref="C76:F76"/>
    <mergeCell ref="D50:F50"/>
    <mergeCell ref="D57:F57"/>
    <mergeCell ref="D64:F64"/>
    <mergeCell ref="D71:F71"/>
    <mergeCell ref="D78:F78"/>
    <mergeCell ref="D85:F85"/>
    <mergeCell ref="D92:F92"/>
    <mergeCell ref="D99:F99"/>
    <mergeCell ref="D106:F106"/>
  </mergeCells>
  <hyperlinks>
    <hyperlink ref="A15:B15" r:id="rId1" display="HUD Census Tract:" xr:uid="{258F4CF4-23A5-49DC-9104-0B5800C1D201}"/>
    <hyperlink ref="H15:J15" r:id="rId2" display="Legislative District:" xr:uid="{114EB33C-CCAD-4616-BB6F-AA6FF71ADD7F}"/>
    <hyperlink ref="D15" r:id="rId3" display="DDA:" xr:uid="{C45A3C70-A026-410E-B649-D4286A6A5B40}"/>
  </hyperlinks>
  <printOptions horizontalCentered="1"/>
  <pageMargins left="0.25" right="0.25" top="1" bottom="0.25" header="0.3" footer="0.3"/>
  <pageSetup scale="98" fitToHeight="6" orientation="portrait" horizontalDpi="1200" r:id="rId4"/>
  <rowBreaks count="5" manualBreakCount="5">
    <brk id="51" max="10" man="1"/>
    <brk id="100" max="10" man="1"/>
    <brk id="149" max="10" man="1"/>
    <brk id="198" max="10" man="1"/>
    <brk id="247" max="10" man="1"/>
  </rowBreaks>
  <legacyDrawing r:id="rId5"/>
  <extLst>
    <ext xmlns:x14="http://schemas.microsoft.com/office/spreadsheetml/2009/9/main" uri="{CCE6A557-97BC-4b89-ADB6-D9C93CAAB3DF}">
      <x14:dataValidations xmlns:xm="http://schemas.microsoft.com/office/excel/2006/main" count="3">
        <x14:dataValidation type="list" allowBlank="1" showInputMessage="1" showErrorMessage="1" xr:uid="{0A55BCCA-4E0E-4F14-BC18-1C4B88232458}">
          <x14:formula1>
            <xm:f>'Project Summary'!$P$131:$P$177</xm:f>
          </x14:formula1>
          <xm:sqref>K15 K99 K92 K85 K78 K71 K64 K57 K50 K43 K36 K29 K22 K106 K190 K183 K176 K169 K162 K155 K148 K141 K134 K127 K120 K113 K218 K211 K204 K197 K225 K295 K288 K281 K274 K267 K260 K253 K246 K239 K232</xm:sqref>
        </x14:dataValidation>
        <x14:dataValidation type="list" allowBlank="1" showInputMessage="1" showErrorMessage="1" xr:uid="{7DCC5E0F-6F2A-4BA4-8969-C725B00418D2}">
          <x14:formula1>
            <xm:f>'Project Summary'!$N$131:$N$183</xm:f>
          </x14:formula1>
          <xm:sqref>C14:E14 C98:E98 C91:E91 C84:E84 C77:E77 C70:E70 C63:E63 C56:E56 C49:E49 C42:E42 C35:E35 C28:E28 C21:E21 C105:E105 C189:E189 C182:E182 C175:E175 C168:E168 C161:E161 C154:E154 C147:E147 C140:E140 C133:E133 C126:E126 C119:E119 C112:E112 C217:E217 C210:E210 C203:E203 C196:E196 C224:E224 C294:E294 C287:E287 C280:E280 C273:E273 C266:E266 C259:E259 C252:E252 C245:E245 C238:E238 C231:E231</xm:sqref>
        </x14:dataValidation>
        <x14:dataValidation type="list" allowBlank="1" showInputMessage="1" showErrorMessage="1" xr:uid="{50E9B0A7-5714-4AB6-B64B-31E1FA6E7420}">
          <x14:formula1>
            <xm:f>'Project Summary'!$M$130:$M$131</xm:f>
          </x14:formula1>
          <xm:sqref>G15:G16 G295:G296 K100 K58 G64:G65 K65 G71:G72 K72 G78:G79 K79 G85:G86 K86 G92:G93 K93 G57:G58 K16 G22:G23 K23 G29:G30 K30 G36:G37 K37 G43:G44 K44 G50:G51 K51 G106:G107 G190:G191 K191 K149 G155:G156 K156 G162:G163 K163 G169:G170 K170 G176:G177 K177 G183:G184 K184 G148:G149 K107 G113:G114 K114 G120:G121 K121 G127:G128 K128 G134:G135 K135 G141:G142 K142 G218:G219 K219 G197:G198 K198 G204:G205 K205 G211:G212 K212 G225:G226 K268 G274:G275 K275 G281:G282 K282 G99:G100 K289 G288:G289 K296 G267:G268 K226 G232:G233 K233 G239:G240 K240 G246:G247 K247 G253:G254 K254 G260:G261 K261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34317-541D-4DA2-AB56-E12422F21015}">
  <sheetPr>
    <pageSetUpPr fitToPage="1"/>
  </sheetPr>
  <dimension ref="A1:T46"/>
  <sheetViews>
    <sheetView workbookViewId="0">
      <selection activeCell="C6" sqref="C6"/>
    </sheetView>
  </sheetViews>
  <sheetFormatPr defaultRowHeight="15" x14ac:dyDescent="0.25"/>
  <cols>
    <col min="1" max="1" width="14.28515625" bestFit="1" customWidth="1"/>
    <col min="2" max="2" width="20.28515625" bestFit="1" customWidth="1"/>
    <col min="3" max="4" width="15.7109375" customWidth="1"/>
    <col min="5" max="5" width="1.7109375" customWidth="1"/>
    <col min="6" max="6" width="15.7109375" customWidth="1"/>
    <col min="7" max="7" width="12.7109375" customWidth="1"/>
  </cols>
  <sheetData>
    <row r="1" spans="1:20" ht="18.75" x14ac:dyDescent="0.3">
      <c r="A1" s="805" t="s">
        <v>523</v>
      </c>
      <c r="B1" s="805"/>
      <c r="C1" s="805"/>
      <c r="D1" s="805"/>
      <c r="E1" s="805"/>
      <c r="F1" s="805"/>
      <c r="G1" s="805"/>
      <c r="H1" s="805"/>
      <c r="I1" s="805"/>
      <c r="J1" s="805"/>
      <c r="K1" s="293"/>
      <c r="L1" s="293"/>
      <c r="M1" s="293"/>
      <c r="N1" s="293"/>
      <c r="O1" s="293"/>
      <c r="P1" s="293"/>
      <c r="Q1" s="293"/>
      <c r="R1" s="293"/>
      <c r="S1" s="293"/>
      <c r="T1" s="293"/>
    </row>
    <row r="2" spans="1:20" x14ac:dyDescent="0.25">
      <c r="A2" s="101" t="s">
        <v>13</v>
      </c>
      <c r="B2" s="793" t="str">
        <f>IF('Project Summary'!$C$8&lt;1," ",'Project Summary'!$C$8)</f>
        <v xml:space="preserve"> </v>
      </c>
      <c r="C2" s="793"/>
      <c r="D2" s="793"/>
      <c r="E2" s="793"/>
      <c r="F2" s="794"/>
      <c r="G2" s="253" t="s">
        <v>11</v>
      </c>
      <c r="H2" s="787" t="str">
        <f>IF('Project Summary'!$C$5&lt;1," ",'Project Summary'!$C$5)</f>
        <v xml:space="preserve"> </v>
      </c>
      <c r="I2" s="787"/>
      <c r="J2" s="788"/>
    </row>
    <row r="3" spans="1:20" ht="9.9499999999999993" customHeight="1" thickBot="1" x14ac:dyDescent="0.3"/>
    <row r="4" spans="1:20" ht="15" customHeight="1" thickBot="1" x14ac:dyDescent="0.3">
      <c r="A4" s="107"/>
      <c r="B4" s="107"/>
      <c r="C4" s="116" t="s">
        <v>534</v>
      </c>
      <c r="D4" s="118" t="s">
        <v>535</v>
      </c>
      <c r="E4" s="126"/>
      <c r="H4" s="107"/>
      <c r="I4" s="107"/>
    </row>
    <row r="5" spans="1:20" ht="15" customHeight="1" thickBot="1" x14ac:dyDescent="0.3">
      <c r="A5" s="806" t="s">
        <v>504</v>
      </c>
      <c r="B5" s="806"/>
      <c r="C5" s="133">
        <v>0.04</v>
      </c>
      <c r="D5" s="134">
        <v>0.09</v>
      </c>
      <c r="E5" s="126"/>
      <c r="H5" s="107"/>
      <c r="I5" s="107"/>
    </row>
    <row r="6" spans="1:20" ht="15" customHeight="1" thickBot="1" x14ac:dyDescent="0.3">
      <c r="A6" s="814" t="s">
        <v>514</v>
      </c>
      <c r="B6" s="815"/>
      <c r="C6" s="114"/>
      <c r="D6" s="107"/>
      <c r="E6" s="107"/>
      <c r="G6" s="107"/>
      <c r="I6" s="107"/>
      <c r="J6" s="107"/>
    </row>
    <row r="7" spans="1:20" ht="15" customHeight="1" x14ac:dyDescent="0.25">
      <c r="A7" s="814" t="s">
        <v>1082</v>
      </c>
      <c r="B7" s="815"/>
      <c r="C7" s="620"/>
      <c r="D7" s="107"/>
      <c r="E7" s="107"/>
      <c r="G7" s="107"/>
      <c r="I7" s="107"/>
      <c r="J7" s="107"/>
    </row>
    <row r="8" spans="1:20" ht="15" customHeight="1" thickBot="1" x14ac:dyDescent="0.3">
      <c r="A8" s="812" t="s">
        <v>516</v>
      </c>
      <c r="B8" s="813"/>
      <c r="C8" s="115"/>
      <c r="D8" s="108"/>
      <c r="E8" s="107"/>
      <c r="G8" s="107"/>
      <c r="I8" s="107"/>
      <c r="J8" s="107"/>
    </row>
    <row r="9" spans="1:20" ht="15" customHeight="1" thickBot="1" x14ac:dyDescent="0.3">
      <c r="A9" s="810" t="s">
        <v>513</v>
      </c>
      <c r="B9" s="811"/>
      <c r="C9" s="829"/>
      <c r="D9" s="830"/>
      <c r="E9" s="831"/>
      <c r="G9" s="126"/>
      <c r="I9" s="108"/>
      <c r="J9" s="108"/>
    </row>
    <row r="10" spans="1:20" ht="9.9499999999999993" customHeight="1" x14ac:dyDescent="0.25">
      <c r="A10" s="107"/>
      <c r="B10" s="107"/>
      <c r="C10" s="107"/>
      <c r="D10" s="107"/>
      <c r="E10" s="107"/>
      <c r="F10" s="107"/>
      <c r="G10" s="107"/>
      <c r="H10" s="107"/>
      <c r="I10" s="107"/>
      <c r="J10" s="107"/>
    </row>
    <row r="11" spans="1:20" ht="15" customHeight="1" thickBot="1" x14ac:dyDescent="0.3">
      <c r="A11" s="809" t="s">
        <v>493</v>
      </c>
      <c r="B11" s="809"/>
      <c r="C11" s="809"/>
      <c r="D11" s="809"/>
      <c r="E11" s="108"/>
      <c r="F11" s="809" t="s">
        <v>518</v>
      </c>
      <c r="G11" s="809"/>
      <c r="H11" s="809"/>
      <c r="I11" s="809"/>
      <c r="J11" s="809"/>
    </row>
    <row r="12" spans="1:20" ht="15" customHeight="1" thickBot="1" x14ac:dyDescent="0.3">
      <c r="C12" s="117" t="s">
        <v>534</v>
      </c>
      <c r="D12" s="118" t="s">
        <v>535</v>
      </c>
      <c r="F12" s="814" t="s">
        <v>520</v>
      </c>
      <c r="G12" s="816"/>
      <c r="H12" s="817" t="str">
        <f>IF(OR('Project Summary'!$C$19="No",'Project Summary'!$C$19=""),"",'Development Budget'!$L$121)</f>
        <v/>
      </c>
      <c r="I12" s="818"/>
      <c r="J12" s="111"/>
    </row>
    <row r="13" spans="1:20" ht="15" customHeight="1" x14ac:dyDescent="0.25">
      <c r="A13" s="855" t="s">
        <v>495</v>
      </c>
      <c r="B13" s="856"/>
      <c r="C13" s="122" t="str">
        <f>IF(OR('Project Summary'!$C$19="No",'Project Summary'!$C$19=""),"",'Development Budget'!$G$121)</f>
        <v/>
      </c>
      <c r="D13" s="123" t="str">
        <f>IF(OR('Project Summary'!$C$19="No",'Project Summary'!$C$19=""),"",'Development Budget'!$H$121)</f>
        <v/>
      </c>
      <c r="F13" s="812" t="s">
        <v>1096</v>
      </c>
      <c r="G13" s="823"/>
      <c r="H13" s="857" t="str">
        <f>IF(OR('Project Summary'!$C$19="No",'Project Summary'!$C$19=""),"",'Funding Sources'!$J$20)</f>
        <v/>
      </c>
      <c r="I13" s="858"/>
      <c r="J13" s="113"/>
    </row>
    <row r="14" spans="1:20" ht="15" customHeight="1" x14ac:dyDescent="0.25">
      <c r="A14" s="824" t="s">
        <v>496</v>
      </c>
      <c r="B14" s="825"/>
      <c r="C14" s="129">
        <v>0</v>
      </c>
      <c r="D14" s="130">
        <v>0</v>
      </c>
      <c r="F14" s="812" t="s">
        <v>1097</v>
      </c>
      <c r="G14" s="823"/>
      <c r="H14" s="857" t="str">
        <f>IF(OR('Project Summary'!$C$19="No",'Project Summary'!$C$19=""),"",'Funding Sources'!$J$19)</f>
        <v/>
      </c>
      <c r="I14" s="858"/>
    </row>
    <row r="15" spans="1:20" ht="15" customHeight="1" x14ac:dyDescent="0.25">
      <c r="A15" s="824" t="s">
        <v>971</v>
      </c>
      <c r="B15" s="825"/>
      <c r="C15" s="129">
        <v>0</v>
      </c>
      <c r="D15" s="130">
        <v>0</v>
      </c>
      <c r="F15" s="812" t="s">
        <v>521</v>
      </c>
      <c r="G15" s="823"/>
      <c r="H15" s="857" t="str">
        <f>IF(OR('Project Summary'!$C$19="No",'Project Summary'!$C$19=""),"",H12-H13+H14)</f>
        <v/>
      </c>
      <c r="I15" s="858"/>
      <c r="J15" s="113"/>
    </row>
    <row r="16" spans="1:20" ht="15" customHeight="1" x14ac:dyDescent="0.25">
      <c r="A16" s="824" t="s">
        <v>497</v>
      </c>
      <c r="B16" s="825"/>
      <c r="C16" s="129">
        <v>0</v>
      </c>
      <c r="D16" s="130">
        <v>0</v>
      </c>
      <c r="F16" s="812" t="s">
        <v>532</v>
      </c>
      <c r="G16" s="823"/>
      <c r="H16" s="851" t="str">
        <f>IF(OR('Project Summary'!$C$19="No",'Project Summary'!$C$19=""),"",C6)</f>
        <v/>
      </c>
      <c r="I16" s="852"/>
      <c r="J16" s="113"/>
    </row>
    <row r="17" spans="1:10" ht="15" customHeight="1" x14ac:dyDescent="0.25">
      <c r="A17" s="824" t="s">
        <v>498</v>
      </c>
      <c r="B17" s="825"/>
      <c r="C17" s="129">
        <v>0</v>
      </c>
      <c r="D17" s="130">
        <v>0</v>
      </c>
      <c r="F17" s="812" t="s">
        <v>533</v>
      </c>
      <c r="G17" s="823"/>
      <c r="H17" s="853" t="str">
        <f>IF(OR('Project Summary'!$C$19="No",'Project Summary'!$C$19=""),"",10)</f>
        <v/>
      </c>
      <c r="I17" s="854"/>
      <c r="J17" s="113"/>
    </row>
    <row r="18" spans="1:10" ht="15" customHeight="1" thickBot="1" x14ac:dyDescent="0.3">
      <c r="A18" s="840" t="s">
        <v>519</v>
      </c>
      <c r="B18" s="841"/>
      <c r="C18" s="122" t="str">
        <f>IF(OR('Project Summary'!$C$19="No",'Project Summary'!$C$19=""),"",$C$13-SUM($C$14:$C$17))</f>
        <v/>
      </c>
      <c r="D18" s="123" t="str">
        <f>IF(OR('Project Summary'!$C$19="No",'Project Summary'!$C$19=""),"",$D$13-SUM($D$14:$D$17))</f>
        <v/>
      </c>
      <c r="F18" s="810" t="s">
        <v>1098</v>
      </c>
      <c r="G18" s="822"/>
      <c r="H18" s="849" t="str">
        <f>IF(OR('Project Summary'!$C$19="No",'Project Summary'!$C$19=""),"",IFERROR(ROUNDDOWN(((H15/H16)/H17)*'Project Summary'!C25*0.02%,0),0))</f>
        <v/>
      </c>
      <c r="I18" s="850"/>
      <c r="J18" s="625"/>
    </row>
    <row r="19" spans="1:10" ht="15" customHeight="1" thickBot="1" x14ac:dyDescent="0.3">
      <c r="A19" s="824" t="s">
        <v>499</v>
      </c>
      <c r="B19" s="825"/>
      <c r="C19" s="122" t="str">
        <f>IF(OR('Project Summary'!$C$19="No",'Project Summary'!$C$19=""),"",'Development Budget'!$G$9)</f>
        <v/>
      </c>
      <c r="D19" s="131"/>
      <c r="F19" s="845" t="s">
        <v>522</v>
      </c>
      <c r="G19" s="846"/>
      <c r="H19" s="847" t="str">
        <f>IF(OR('Project Summary'!$C$19="No",'Project Summary'!$C$19=""),"",IFERROR(ROUNDDOWN(((H15/H16)/H17)*'Project Summary'!C25,0)+H18,0))</f>
        <v/>
      </c>
      <c r="I19" s="847"/>
      <c r="J19" s="848"/>
    </row>
    <row r="20" spans="1:10" ht="15" customHeight="1" x14ac:dyDescent="0.25">
      <c r="A20" s="824" t="s">
        <v>1122</v>
      </c>
      <c r="B20" s="825"/>
      <c r="C20" s="129">
        <v>0</v>
      </c>
      <c r="D20" s="130">
        <v>0</v>
      </c>
    </row>
    <row r="21" spans="1:10" ht="15" customHeight="1" x14ac:dyDescent="0.25">
      <c r="A21" s="834" t="s">
        <v>494</v>
      </c>
      <c r="B21" s="835"/>
      <c r="C21" s="122" t="str">
        <f>IF(OR('Project Summary'!$C$19="No",'Project Summary'!$C$19=""),"",C18-C19-C20)</f>
        <v/>
      </c>
      <c r="D21" s="123" t="str">
        <f>IF(OR('Project Summary'!$C$19="No",'Project Summary'!$C$19=""),"",D18-D20)</f>
        <v/>
      </c>
    </row>
    <row r="22" spans="1:10" ht="15" customHeight="1" x14ac:dyDescent="0.25">
      <c r="A22" s="824" t="s">
        <v>506</v>
      </c>
      <c r="B22" s="825"/>
      <c r="C22" s="119" t="str">
        <f>IF(OR('Project Summary'!$C$19="No",'Project Summary'!$C$19=""),"",IF((OR($C$8="No",$C$8="")),'Project Summary'!$Q$168,IF((OR($C$9='Project Summary'!$Q$156,$C$9='Project Summary'!$Q$165)),'Project Summary'!$Q$169,'Project Summary'!$Q$168)))</f>
        <v/>
      </c>
      <c r="D22" s="120" t="str">
        <f>IF(OR('Project Summary'!$C$19="No",'Project Summary'!$C$19=""),"",IF((OR($C$8="No",$C$8="")),'Project Summary'!$Q$168,IF((OR($C$9='Project Summary'!$Q$155,$C$9='Project Summary'!$Q$156,$C$9='Project Summary'!$Q$157,$C$9='Project Summary'!$Q$158,$C$9='Project Summary'!$Q$159,$C$9='Project Summary'!$Q$160,$C$9='Project Summary'!$Q$161,$C$9='Project Summary'!$Q$162,$C$9='Project Summary'!$Q$163,$C$9='Project Summary'!$Q$164,$C$9='Project Summary'!$Q$165,$C$9='Project Summary'!$Q$166)),'Project Summary'!$Q$169,'Project Summary'!$Q$168)))</f>
        <v/>
      </c>
    </row>
    <row r="23" spans="1:10" ht="15" customHeight="1" x14ac:dyDescent="0.25">
      <c r="A23" s="834" t="s">
        <v>494</v>
      </c>
      <c r="B23" s="835"/>
      <c r="C23" s="122" t="str">
        <f>IF(OR('Project Summary'!$C$19="No",'Project Summary'!$C$19=""),"",C21*C22)</f>
        <v/>
      </c>
      <c r="D23" s="123" t="str">
        <f>IF(OR('Project Summary'!$C$19="No",'Project Summary'!$C$19=""),"",D21*D22)</f>
        <v/>
      </c>
    </row>
    <row r="24" spans="1:10" ht="15" customHeight="1" x14ac:dyDescent="0.25">
      <c r="A24" s="824" t="s">
        <v>500</v>
      </c>
      <c r="B24" s="825"/>
      <c r="C24" s="122" t="str">
        <f>IF(OR('Project Summary'!$C$19="No",'Project Summary'!$C$19=""),"",'Development Budget'!$G$9)</f>
        <v/>
      </c>
      <c r="D24" s="131"/>
      <c r="F24" s="127"/>
      <c r="H24" s="127"/>
      <c r="I24" s="112"/>
      <c r="J24" s="113"/>
    </row>
    <row r="25" spans="1:10" ht="15" customHeight="1" x14ac:dyDescent="0.25">
      <c r="A25" s="824" t="s">
        <v>982</v>
      </c>
      <c r="B25" s="825"/>
      <c r="C25" s="122">
        <f>C20</f>
        <v>0</v>
      </c>
      <c r="D25" s="123">
        <f>D20</f>
        <v>0</v>
      </c>
      <c r="F25" s="127"/>
      <c r="H25" s="127"/>
      <c r="I25" s="112"/>
      <c r="J25" s="113"/>
    </row>
    <row r="26" spans="1:10" ht="15" customHeight="1" x14ac:dyDescent="0.25">
      <c r="A26" s="840" t="s">
        <v>501</v>
      </c>
      <c r="B26" s="841"/>
      <c r="C26" s="122" t="str">
        <f>IF(OR('Project Summary'!$C$19="No",'Project Summary'!$C$19=""),"",C23+C24+C25)</f>
        <v/>
      </c>
      <c r="D26" s="123" t="str">
        <f>IF(OR('Project Summary'!$C$19="No",'Project Summary'!$C$19=""),"",D23+D25)</f>
        <v/>
      </c>
      <c r="F26" s="127"/>
      <c r="H26" s="127"/>
      <c r="I26" s="112"/>
      <c r="J26" s="113"/>
    </row>
    <row r="27" spans="1:10" ht="15" customHeight="1" x14ac:dyDescent="0.25">
      <c r="A27" s="824" t="s">
        <v>502</v>
      </c>
      <c r="B27" s="825"/>
      <c r="C27" s="121" t="str">
        <f>IF(OR('Project Summary'!$C$19="No",'Project Summary'!$C$19=""),"",'Project Summary'!$C$28)</f>
        <v/>
      </c>
      <c r="D27" s="132" t="str">
        <f>IF(OR('Project Summary'!$C$19="No",'Project Summary'!$C$19=""),"",'Project Summary'!$C$28)</f>
        <v/>
      </c>
      <c r="F27" s="127"/>
      <c r="H27" s="127"/>
      <c r="I27" s="112"/>
      <c r="J27" s="113"/>
    </row>
    <row r="28" spans="1:10" ht="15" customHeight="1" x14ac:dyDescent="0.25">
      <c r="A28" s="840" t="s">
        <v>503</v>
      </c>
      <c r="B28" s="841"/>
      <c r="C28" s="122" t="str">
        <f>IF(OR('Project Summary'!$C$19="No",'Project Summary'!$C$19=""),"",C26*C27)</f>
        <v/>
      </c>
      <c r="D28" s="123" t="str">
        <f>IF(OR('Project Summary'!$C$19="No",'Project Summary'!$C$19=""),"",D26*D27)</f>
        <v/>
      </c>
      <c r="F28" s="127"/>
      <c r="H28" s="127"/>
      <c r="I28" s="112"/>
      <c r="J28" s="113"/>
    </row>
    <row r="29" spans="1:10" ht="15" customHeight="1" thickBot="1" x14ac:dyDescent="0.3">
      <c r="A29" s="838" t="s">
        <v>505</v>
      </c>
      <c r="B29" s="839"/>
      <c r="C29" s="416" t="str">
        <f>IF(OR('Project Summary'!$C$19="No",'Project Summary'!$C$19=""),"",C5*C28)</f>
        <v/>
      </c>
      <c r="D29" s="417" t="str">
        <f>IF(OR('Project Summary'!$C$19="No",'Project Summary'!$C$19=""),"",D5*D28)</f>
        <v/>
      </c>
      <c r="F29" s="127"/>
      <c r="H29" s="127"/>
      <c r="I29" s="112"/>
      <c r="J29" s="113"/>
    </row>
    <row r="30" spans="1:10" ht="15" customHeight="1" thickBot="1" x14ac:dyDescent="0.3">
      <c r="A30" s="832" t="s">
        <v>536</v>
      </c>
      <c r="B30" s="833"/>
      <c r="C30" s="833"/>
      <c r="D30" s="819" t="str">
        <f>IF(OR('Project Summary'!$C$19="No",'Project Summary'!$C$19=""),"",ROUNDDOWN($C$29+$D$29,0))</f>
        <v/>
      </c>
      <c r="E30" s="820"/>
      <c r="F30" s="821"/>
      <c r="G30" s="108"/>
      <c r="I30" s="128"/>
      <c r="J30" s="128"/>
    </row>
    <row r="31" spans="1:10" ht="9.9499999999999993" customHeight="1" thickBot="1" x14ac:dyDescent="0.3">
      <c r="E31" s="164"/>
      <c r="F31" s="164"/>
      <c r="G31" s="164"/>
      <c r="H31" s="164"/>
      <c r="I31" s="110"/>
      <c r="J31" s="111"/>
    </row>
    <row r="32" spans="1:10" ht="19.5" thickBot="1" x14ac:dyDescent="0.35">
      <c r="A32" s="836" t="s">
        <v>760</v>
      </c>
      <c r="B32" s="837"/>
      <c r="C32" s="837"/>
      <c r="D32" s="837"/>
      <c r="E32" s="837"/>
      <c r="F32" s="837"/>
      <c r="G32" s="837"/>
      <c r="H32" s="807" t="str">
        <f>IF(OR('Project Summary'!$C$19="No",'Project Summary'!$C$19=""),"",MIN(D30,H19))</f>
        <v/>
      </c>
      <c r="I32" s="807"/>
      <c r="J32" s="808"/>
    </row>
    <row r="33" spans="1:7" ht="9.9499999999999993" customHeight="1" x14ac:dyDescent="0.25"/>
    <row r="34" spans="1:7" ht="15.75" thickBot="1" x14ac:dyDescent="0.3">
      <c r="A34" s="828" t="s">
        <v>524</v>
      </c>
      <c r="B34" s="828"/>
      <c r="C34" s="828"/>
      <c r="D34" s="108"/>
      <c r="E34" s="108"/>
      <c r="F34" s="108"/>
      <c r="G34" s="108"/>
    </row>
    <row r="35" spans="1:7" x14ac:dyDescent="0.25">
      <c r="A35" s="843" t="s">
        <v>530</v>
      </c>
      <c r="B35" s="844"/>
      <c r="C35" s="294" t="str">
        <f>IF(OR('Project Summary'!$C$19="No",'Project Summary'!$C$19=""),"",'Project Summary'!$I$19*'Tax Credit Calc'!$C$6*10*'Project Summary'!$C$25+'Tax Credit Calc'!$C$7)</f>
        <v/>
      </c>
    </row>
    <row r="36" spans="1:7" x14ac:dyDescent="0.25">
      <c r="A36" s="842" t="s">
        <v>529</v>
      </c>
      <c r="B36" s="295" t="s">
        <v>525</v>
      </c>
      <c r="C36" s="296">
        <f>'Development Budget'!$E$92</f>
        <v>0</v>
      </c>
    </row>
    <row r="37" spans="1:7" x14ac:dyDescent="0.25">
      <c r="A37" s="842"/>
      <c r="B37" s="295" t="s">
        <v>526</v>
      </c>
      <c r="C37" s="296">
        <f>'Development Budget'!$E$93</f>
        <v>0</v>
      </c>
    </row>
    <row r="38" spans="1:7" x14ac:dyDescent="0.25">
      <c r="A38" s="842"/>
      <c r="B38" s="295" t="s">
        <v>527</v>
      </c>
      <c r="C38" s="296">
        <f>'Development Budget'!$E$94</f>
        <v>0</v>
      </c>
    </row>
    <row r="39" spans="1:7" x14ac:dyDescent="0.25">
      <c r="A39" s="842"/>
      <c r="B39" s="295" t="s">
        <v>528</v>
      </c>
      <c r="C39" s="296">
        <f>'Development Budget'!$E$95</f>
        <v>0</v>
      </c>
    </row>
    <row r="40" spans="1:7" x14ac:dyDescent="0.25">
      <c r="A40" s="842"/>
      <c r="B40" s="295" t="s">
        <v>666</v>
      </c>
      <c r="C40" s="296">
        <f>'Development Budget'!E96</f>
        <v>0</v>
      </c>
    </row>
    <row r="41" spans="1:7" x14ac:dyDescent="0.25">
      <c r="A41" s="842"/>
      <c r="B41" s="295" t="s">
        <v>667</v>
      </c>
      <c r="C41" s="296">
        <f>'Development Budget'!$E$97</f>
        <v>0</v>
      </c>
    </row>
    <row r="42" spans="1:7" x14ac:dyDescent="0.25">
      <c r="A42" s="842"/>
      <c r="B42" s="295" t="s">
        <v>668</v>
      </c>
      <c r="C42" s="296">
        <f>'Development Budget'!$E$98</f>
        <v>0</v>
      </c>
    </row>
    <row r="43" spans="1:7" x14ac:dyDescent="0.25">
      <c r="A43" s="842"/>
      <c r="B43" s="295" t="s">
        <v>357</v>
      </c>
      <c r="C43" s="296">
        <f>'Development Budget'!$E$99</f>
        <v>0</v>
      </c>
    </row>
    <row r="44" spans="1:7" x14ac:dyDescent="0.25">
      <c r="A44" s="842"/>
      <c r="B44" s="295" t="s">
        <v>69</v>
      </c>
      <c r="C44" s="296">
        <f>SUM('Development Budget'!$E$100:$E$102)</f>
        <v>0</v>
      </c>
    </row>
    <row r="45" spans="1:7" ht="15.75" thickBot="1" x14ac:dyDescent="0.3">
      <c r="A45" s="826" t="s">
        <v>531</v>
      </c>
      <c r="B45" s="827"/>
      <c r="C45" s="296" t="str">
        <f>IF(OR('Project Summary'!$C$19="No",'Project Summary'!$C$19=""),"",C35-SUM($C$36:$C$44))</f>
        <v/>
      </c>
    </row>
    <row r="46" spans="1:7" ht="15.75" thickBot="1" x14ac:dyDescent="0.3">
      <c r="C46" s="297" t="str">
        <f>IF(OR('Project Summary'!$C$19="No",'Project Summary'!$C$19=""),"",IFERROR(C45/C35,0))</f>
        <v/>
      </c>
    </row>
  </sheetData>
  <mergeCells count="52">
    <mergeCell ref="F19:G19"/>
    <mergeCell ref="H19:J19"/>
    <mergeCell ref="H18:I18"/>
    <mergeCell ref="A7:B7"/>
    <mergeCell ref="H16:I16"/>
    <mergeCell ref="H17:I17"/>
    <mergeCell ref="A13:B13"/>
    <mergeCell ref="H15:I15"/>
    <mergeCell ref="H13:I13"/>
    <mergeCell ref="F15:G15"/>
    <mergeCell ref="F13:G13"/>
    <mergeCell ref="A15:B15"/>
    <mergeCell ref="F14:G14"/>
    <mergeCell ref="H14:I14"/>
    <mergeCell ref="A36:A44"/>
    <mergeCell ref="A35:B35"/>
    <mergeCell ref="A17:B17"/>
    <mergeCell ref="A16:B16"/>
    <mergeCell ref="A20:B20"/>
    <mergeCell ref="A25:B25"/>
    <mergeCell ref="A45:B45"/>
    <mergeCell ref="A34:C34"/>
    <mergeCell ref="C9:E9"/>
    <mergeCell ref="A30:C30"/>
    <mergeCell ref="A11:D11"/>
    <mergeCell ref="A24:B24"/>
    <mergeCell ref="A23:B23"/>
    <mergeCell ref="A22:B22"/>
    <mergeCell ref="A32:G32"/>
    <mergeCell ref="A29:B29"/>
    <mergeCell ref="A28:B28"/>
    <mergeCell ref="A27:B27"/>
    <mergeCell ref="A26:B26"/>
    <mergeCell ref="A21:B21"/>
    <mergeCell ref="A19:B19"/>
    <mergeCell ref="A18:B18"/>
    <mergeCell ref="A1:J1"/>
    <mergeCell ref="B2:F2"/>
    <mergeCell ref="A5:B5"/>
    <mergeCell ref="H32:J32"/>
    <mergeCell ref="F11:J11"/>
    <mergeCell ref="H2:J2"/>
    <mergeCell ref="A9:B9"/>
    <mergeCell ref="A8:B8"/>
    <mergeCell ref="A6:B6"/>
    <mergeCell ref="F12:G12"/>
    <mergeCell ref="H12:I12"/>
    <mergeCell ref="D30:F30"/>
    <mergeCell ref="F18:G18"/>
    <mergeCell ref="F17:G17"/>
    <mergeCell ref="F16:G16"/>
    <mergeCell ref="A14:B14"/>
  </mergeCells>
  <printOptions horizontalCentered="1"/>
  <pageMargins left="0.25" right="0.25" top="1" bottom="0.25" header="0.3" footer="0.3"/>
  <pageSetup scale="83" orientation="portrait" horizontalDpi="1200"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14B76C0-D352-476E-B1E1-618E8215342C}">
          <x14:formula1>
            <xm:f>'Project Summary'!$M$130:$M$131</xm:f>
          </x14:formula1>
          <xm:sqref>C8</xm:sqref>
        </x14:dataValidation>
        <x14:dataValidation type="list" allowBlank="1" showInputMessage="1" showErrorMessage="1" xr:uid="{6C11845C-FFB1-4871-991B-DCD69D4CCC73}">
          <x14:formula1>
            <xm:f>IF(OR($C$8="No",$C$8=""),'Project Summary'!#REF!,'Project Summary'!$Q$155:$Q$166)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1FC5D-E187-4761-9898-16762B983DBF}">
  <sheetPr>
    <pageSetUpPr fitToPage="1"/>
  </sheetPr>
  <dimension ref="A1:AA161"/>
  <sheetViews>
    <sheetView zoomScale="85" zoomScaleNormal="85" workbookViewId="0">
      <selection activeCell="A5" sqref="A5"/>
    </sheetView>
  </sheetViews>
  <sheetFormatPr defaultRowHeight="15" x14ac:dyDescent="0.25"/>
  <cols>
    <col min="1" max="1" width="13.7109375" customWidth="1"/>
    <col min="2" max="2" width="8.7109375" customWidth="1"/>
    <col min="3" max="3" width="10.7109375" customWidth="1"/>
    <col min="4" max="4" width="1.7109375" customWidth="1"/>
    <col min="5" max="5" width="9.7109375" customWidth="1"/>
    <col min="6" max="6" width="16.140625" bestFit="1" customWidth="1"/>
    <col min="7" max="7" width="1.7109375" customWidth="1"/>
    <col min="8" max="8" width="13.7109375" customWidth="1"/>
    <col min="9" max="9" width="1.7109375" customWidth="1"/>
    <col min="10" max="10" width="8.7109375" customWidth="1"/>
    <col min="11" max="11" width="10.7109375" customWidth="1"/>
    <col min="12" max="12" width="9.7109375" customWidth="1"/>
    <col min="13" max="13" width="1.7109375" customWidth="1"/>
    <col min="14" max="14" width="15.140625" customWidth="1"/>
    <col min="15" max="15" width="1.7109375" customWidth="1"/>
    <col min="16" max="16" width="13.7109375" customWidth="1"/>
    <col min="17" max="17" width="8.7109375" customWidth="1"/>
    <col min="18" max="18" width="1.7109375" customWidth="1"/>
    <col min="19" max="20" width="9.7109375" customWidth="1"/>
    <col min="21" max="21" width="16.140625" customWidth="1"/>
    <col min="23" max="24" width="9.7109375" customWidth="1"/>
  </cols>
  <sheetData>
    <row r="1" spans="1:26" ht="18.75" x14ac:dyDescent="0.3">
      <c r="A1" s="805" t="s">
        <v>385</v>
      </c>
      <c r="B1" s="805"/>
      <c r="C1" s="805"/>
      <c r="D1" s="805"/>
      <c r="E1" s="805"/>
      <c r="F1" s="805"/>
      <c r="G1" s="805"/>
      <c r="H1" s="805"/>
      <c r="I1" s="805"/>
      <c r="J1" s="805"/>
      <c r="K1" s="805"/>
      <c r="L1" s="805"/>
      <c r="M1" s="805"/>
      <c r="N1" s="805"/>
      <c r="O1" s="805"/>
      <c r="P1" s="805"/>
      <c r="Q1" s="805"/>
      <c r="R1" s="805"/>
      <c r="S1" s="805"/>
      <c r="T1" s="805"/>
      <c r="U1" s="805"/>
    </row>
    <row r="2" spans="1:26" x14ac:dyDescent="0.25">
      <c r="A2" s="101" t="s">
        <v>13</v>
      </c>
      <c r="B2" s="889" t="str">
        <f>IF('Project Summary'!$C$8&lt;1," ",'Project Summary'!$C$8)</f>
        <v xml:space="preserve"> </v>
      </c>
      <c r="C2" s="889"/>
      <c r="D2" s="889"/>
      <c r="E2" s="889"/>
      <c r="F2" s="889"/>
      <c r="G2" s="889"/>
      <c r="H2" s="889"/>
      <c r="I2" s="889"/>
      <c r="J2" s="889"/>
      <c r="K2" s="889"/>
      <c r="L2" s="889"/>
      <c r="M2" s="889"/>
      <c r="N2" s="889"/>
      <c r="O2" s="889"/>
      <c r="P2" s="889"/>
      <c r="Q2" s="890"/>
      <c r="R2" s="859" t="s">
        <v>11</v>
      </c>
      <c r="S2" s="886"/>
      <c r="T2" s="787" t="str">
        <f>IF('Project Summary'!$C$5&lt;1," ",'Project Summary'!$C$5)</f>
        <v xml:space="preserve"> </v>
      </c>
      <c r="U2" s="788"/>
    </row>
    <row r="3" spans="1:26" ht="9.9499999999999993" customHeight="1" thickBot="1" x14ac:dyDescent="0.3"/>
    <row r="4" spans="1:26" ht="30" customHeight="1" x14ac:dyDescent="0.25">
      <c r="A4" s="277" t="s">
        <v>809</v>
      </c>
      <c r="B4" s="278" t="s">
        <v>471</v>
      </c>
      <c r="C4" s="279" t="s">
        <v>42</v>
      </c>
      <c r="D4" s="147"/>
      <c r="E4" s="277" t="s">
        <v>476</v>
      </c>
      <c r="F4" s="278" t="s">
        <v>381</v>
      </c>
      <c r="G4" s="871" t="s">
        <v>460</v>
      </c>
      <c r="H4" s="887"/>
      <c r="I4" s="147"/>
      <c r="J4" s="277" t="s">
        <v>470</v>
      </c>
      <c r="K4" s="278" t="s">
        <v>382</v>
      </c>
      <c r="L4" s="279" t="s">
        <v>477</v>
      </c>
      <c r="N4" s="277" t="s">
        <v>475</v>
      </c>
      <c r="O4" s="871" t="s">
        <v>51</v>
      </c>
      <c r="P4" s="871"/>
      <c r="Q4" s="871" t="s">
        <v>52</v>
      </c>
      <c r="R4" s="871"/>
      <c r="S4" s="871"/>
      <c r="T4" s="871"/>
      <c r="U4" s="887"/>
      <c r="X4" s="319" t="s">
        <v>383</v>
      </c>
      <c r="Y4" s="319" t="s">
        <v>1043</v>
      </c>
    </row>
    <row r="5" spans="1:26" ht="15" customHeight="1" x14ac:dyDescent="0.25">
      <c r="A5" s="73"/>
      <c r="B5" s="74"/>
      <c r="C5" s="562"/>
      <c r="D5" s="147"/>
      <c r="E5" s="73"/>
      <c r="F5" s="561"/>
      <c r="G5" s="864"/>
      <c r="H5" s="865"/>
      <c r="I5" s="147"/>
      <c r="J5" s="73"/>
      <c r="K5" s="561"/>
      <c r="L5" s="562"/>
      <c r="N5" s="73"/>
      <c r="O5" s="885"/>
      <c r="P5" s="885"/>
      <c r="Q5" s="882"/>
      <c r="R5" s="882"/>
      <c r="S5" s="882"/>
      <c r="T5" s="882"/>
      <c r="U5" s="883"/>
      <c r="W5" s="319" t="s">
        <v>1042</v>
      </c>
      <c r="X5" s="561"/>
      <c r="Y5" s="464">
        <f>X5/43560</f>
        <v>0</v>
      </c>
    </row>
    <row r="6" spans="1:26" ht="15" customHeight="1" x14ac:dyDescent="0.25">
      <c r="A6" s="73"/>
      <c r="B6" s="74"/>
      <c r="C6" s="562"/>
      <c r="D6" s="147"/>
      <c r="E6" s="73"/>
      <c r="F6" s="561"/>
      <c r="G6" s="864"/>
      <c r="H6" s="865"/>
      <c r="I6" s="147"/>
      <c r="J6" s="73"/>
      <c r="K6" s="561"/>
      <c r="L6" s="562"/>
      <c r="N6" s="73"/>
      <c r="O6" s="885"/>
      <c r="P6" s="885"/>
      <c r="Q6" s="882"/>
      <c r="R6" s="882"/>
      <c r="S6" s="882"/>
      <c r="T6" s="882"/>
      <c r="U6" s="883"/>
    </row>
    <row r="7" spans="1:26" ht="15" customHeight="1" x14ac:dyDescent="0.25">
      <c r="A7" s="73"/>
      <c r="B7" s="74"/>
      <c r="C7" s="562"/>
      <c r="D7" s="147"/>
      <c r="E7" s="73"/>
      <c r="F7" s="561"/>
      <c r="G7" s="864"/>
      <c r="H7" s="865"/>
      <c r="I7" s="147"/>
      <c r="J7" s="73"/>
      <c r="K7" s="561"/>
      <c r="L7" s="562"/>
      <c r="N7" s="73"/>
      <c r="O7" s="885"/>
      <c r="P7" s="885"/>
      <c r="Q7" s="882"/>
      <c r="R7" s="882"/>
      <c r="S7" s="882"/>
      <c r="T7" s="882"/>
      <c r="U7" s="883"/>
    </row>
    <row r="8" spans="1:26" ht="15" customHeight="1" x14ac:dyDescent="0.25">
      <c r="A8" s="73"/>
      <c r="B8" s="74"/>
      <c r="C8" s="562"/>
      <c r="D8" s="147"/>
      <c r="E8" s="73"/>
      <c r="F8" s="561"/>
      <c r="G8" s="864"/>
      <c r="H8" s="865"/>
      <c r="I8" s="147"/>
      <c r="J8" s="73"/>
      <c r="K8" s="561"/>
      <c r="L8" s="562"/>
      <c r="N8" s="73"/>
      <c r="O8" s="885"/>
      <c r="P8" s="885"/>
      <c r="Q8" s="882"/>
      <c r="R8" s="882"/>
      <c r="S8" s="882"/>
      <c r="T8" s="882"/>
      <c r="U8" s="883"/>
      <c r="W8" s="880" t="s">
        <v>45</v>
      </c>
      <c r="X8" s="881"/>
      <c r="Y8" s="280">
        <f>$C$15</f>
        <v>0</v>
      </c>
      <c r="Z8" s="281">
        <f t="shared" ref="Z8:Z13" si="0">IFERROR(Y8/$Y$14,0)</f>
        <v>0</v>
      </c>
    </row>
    <row r="9" spans="1:26" ht="15" customHeight="1" x14ac:dyDescent="0.25">
      <c r="A9" s="73"/>
      <c r="B9" s="74"/>
      <c r="C9" s="562"/>
      <c r="D9" s="147"/>
      <c r="E9" s="73"/>
      <c r="F9" s="561"/>
      <c r="G9" s="864"/>
      <c r="H9" s="865"/>
      <c r="I9" s="147"/>
      <c r="J9" s="73"/>
      <c r="K9" s="561"/>
      <c r="L9" s="562"/>
      <c r="N9" s="73"/>
      <c r="O9" s="885"/>
      <c r="P9" s="885"/>
      <c r="Q9" s="882"/>
      <c r="R9" s="882"/>
      <c r="S9" s="882"/>
      <c r="T9" s="882"/>
      <c r="U9" s="883"/>
      <c r="W9" s="880" t="s">
        <v>46</v>
      </c>
      <c r="X9" s="881"/>
      <c r="Y9" s="282">
        <f>$F$15</f>
        <v>0</v>
      </c>
      <c r="Z9" s="201">
        <f t="shared" si="0"/>
        <v>0</v>
      </c>
    </row>
    <row r="10" spans="1:26" ht="15" customHeight="1" x14ac:dyDescent="0.25">
      <c r="A10" s="73"/>
      <c r="B10" s="74"/>
      <c r="C10" s="562"/>
      <c r="D10" s="147"/>
      <c r="E10" s="73"/>
      <c r="F10" s="561"/>
      <c r="G10" s="864"/>
      <c r="H10" s="865"/>
      <c r="I10" s="147"/>
      <c r="J10" s="73"/>
      <c r="K10" s="561"/>
      <c r="L10" s="562"/>
      <c r="N10" s="73"/>
      <c r="O10" s="885"/>
      <c r="P10" s="885"/>
      <c r="Q10" s="882"/>
      <c r="R10" s="882"/>
      <c r="S10" s="882"/>
      <c r="T10" s="882"/>
      <c r="U10" s="883"/>
      <c r="W10" s="880" t="s">
        <v>47</v>
      </c>
      <c r="X10" s="881"/>
      <c r="Y10" s="282">
        <f>$K$15</f>
        <v>0</v>
      </c>
      <c r="Z10" s="201">
        <f t="shared" si="0"/>
        <v>0</v>
      </c>
    </row>
    <row r="11" spans="1:26" ht="15" customHeight="1" x14ac:dyDescent="0.25">
      <c r="A11" s="73"/>
      <c r="B11" s="74"/>
      <c r="C11" s="562"/>
      <c r="D11" s="147"/>
      <c r="E11" s="73"/>
      <c r="F11" s="561"/>
      <c r="G11" s="864"/>
      <c r="H11" s="865"/>
      <c r="I11" s="147"/>
      <c r="J11" s="73"/>
      <c r="K11" s="561"/>
      <c r="L11" s="562"/>
      <c r="N11" s="73"/>
      <c r="O11" s="885"/>
      <c r="P11" s="885"/>
      <c r="Q11" s="882"/>
      <c r="R11" s="882"/>
      <c r="S11" s="882"/>
      <c r="T11" s="882"/>
      <c r="U11" s="883"/>
      <c r="W11" s="880" t="s">
        <v>53</v>
      </c>
      <c r="X11" s="881"/>
      <c r="Y11" s="282">
        <f>$O$15</f>
        <v>0</v>
      </c>
      <c r="Z11" s="201">
        <f t="shared" si="0"/>
        <v>0</v>
      </c>
    </row>
    <row r="12" spans="1:26" ht="15" customHeight="1" x14ac:dyDescent="0.25">
      <c r="A12" s="73"/>
      <c r="B12" s="74"/>
      <c r="C12" s="562"/>
      <c r="D12" s="147"/>
      <c r="E12" s="73"/>
      <c r="F12" s="561"/>
      <c r="G12" s="864"/>
      <c r="H12" s="865"/>
      <c r="I12" s="147"/>
      <c r="J12" s="73"/>
      <c r="K12" s="561"/>
      <c r="L12" s="562"/>
      <c r="N12" s="73"/>
      <c r="O12" s="885"/>
      <c r="P12" s="885"/>
      <c r="Q12" s="882"/>
      <c r="R12" s="882"/>
      <c r="S12" s="882"/>
      <c r="T12" s="882"/>
      <c r="U12" s="883"/>
      <c r="W12" s="880" t="s">
        <v>48</v>
      </c>
      <c r="X12" s="881"/>
      <c r="Y12" s="282">
        <f>SUM($C$88,$K$88,$R$88)</f>
        <v>0</v>
      </c>
      <c r="Z12" s="201">
        <f t="shared" si="0"/>
        <v>0</v>
      </c>
    </row>
    <row r="13" spans="1:26" ht="15" customHeight="1" x14ac:dyDescent="0.25">
      <c r="A13" s="73"/>
      <c r="B13" s="74"/>
      <c r="C13" s="562"/>
      <c r="D13" s="147"/>
      <c r="E13" s="73"/>
      <c r="F13" s="561"/>
      <c r="G13" s="864"/>
      <c r="H13" s="865"/>
      <c r="I13" s="147"/>
      <c r="J13" s="73"/>
      <c r="K13" s="561"/>
      <c r="L13" s="562"/>
      <c r="N13" s="73"/>
      <c r="O13" s="885"/>
      <c r="P13" s="885"/>
      <c r="Q13" s="882"/>
      <c r="R13" s="882"/>
      <c r="S13" s="882"/>
      <c r="T13" s="882"/>
      <c r="U13" s="883"/>
      <c r="W13" s="880" t="s">
        <v>49</v>
      </c>
      <c r="X13" s="881"/>
      <c r="Y13" s="282">
        <f>$B$15</f>
        <v>0</v>
      </c>
      <c r="Z13" s="201">
        <f t="shared" si="0"/>
        <v>0</v>
      </c>
    </row>
    <row r="14" spans="1:26" ht="15" customHeight="1" x14ac:dyDescent="0.25">
      <c r="A14" s="73"/>
      <c r="B14" s="74"/>
      <c r="C14" s="562"/>
      <c r="D14" s="147"/>
      <c r="E14" s="73"/>
      <c r="F14" s="561"/>
      <c r="G14" s="864"/>
      <c r="H14" s="865"/>
      <c r="I14" s="147"/>
      <c r="J14" s="73"/>
      <c r="K14" s="561"/>
      <c r="L14" s="562"/>
      <c r="N14" s="73"/>
      <c r="O14" s="885"/>
      <c r="P14" s="885"/>
      <c r="Q14" s="882"/>
      <c r="R14" s="882"/>
      <c r="S14" s="882"/>
      <c r="T14" s="882"/>
      <c r="U14" s="883"/>
      <c r="W14" s="880" t="s">
        <v>50</v>
      </c>
      <c r="X14" s="881"/>
      <c r="Y14" s="282">
        <f>SUM(Y8:Y13)</f>
        <v>0</v>
      </c>
    </row>
    <row r="15" spans="1:26" ht="15" customHeight="1" thickBot="1" x14ac:dyDescent="0.3">
      <c r="A15" s="283" t="s">
        <v>43</v>
      </c>
      <c r="B15" s="284">
        <f>SUM(B5:B14)</f>
        <v>0</v>
      </c>
      <c r="C15" s="285">
        <f>SUM(C5:C14)</f>
        <v>0</v>
      </c>
      <c r="D15" s="147"/>
      <c r="E15" s="283" t="s">
        <v>44</v>
      </c>
      <c r="F15" s="286">
        <f>SUM(F5:F14)</f>
        <v>0</v>
      </c>
      <c r="G15" s="862">
        <f>SUM(G5:G14)</f>
        <v>0</v>
      </c>
      <c r="H15" s="888"/>
      <c r="I15" s="147"/>
      <c r="J15" s="283" t="s">
        <v>44</v>
      </c>
      <c r="K15" s="284">
        <f>SUM(K5:K14)</f>
        <v>0</v>
      </c>
      <c r="L15" s="285">
        <f>SUM(L5:L14)</f>
        <v>0</v>
      </c>
      <c r="N15" s="283" t="s">
        <v>43</v>
      </c>
      <c r="O15" s="866">
        <f>SUM(O5:O14)</f>
        <v>0</v>
      </c>
      <c r="P15" s="866"/>
      <c r="Q15" s="866"/>
      <c r="R15" s="866"/>
      <c r="S15" s="866"/>
      <c r="T15" s="866"/>
      <c r="U15" s="884"/>
    </row>
    <row r="16" spans="1:26" ht="9.9499999999999993" customHeight="1" thickBot="1" x14ac:dyDescent="0.3"/>
    <row r="17" spans="1:26" ht="15" customHeight="1" x14ac:dyDescent="0.25">
      <c r="A17" s="277" t="s">
        <v>809</v>
      </c>
      <c r="B17" s="278" t="s">
        <v>39</v>
      </c>
      <c r="C17" s="278" t="s">
        <v>41</v>
      </c>
      <c r="D17" s="869" t="s">
        <v>40</v>
      </c>
      <c r="E17" s="870"/>
      <c r="F17" s="287" t="s">
        <v>472</v>
      </c>
      <c r="G17" s="288"/>
      <c r="H17" s="277" t="s">
        <v>809</v>
      </c>
      <c r="I17" s="871" t="s">
        <v>39</v>
      </c>
      <c r="J17" s="871"/>
      <c r="K17" s="278" t="s">
        <v>41</v>
      </c>
      <c r="L17" s="278" t="s">
        <v>40</v>
      </c>
      <c r="M17" s="872" t="s">
        <v>472</v>
      </c>
      <c r="N17" s="873"/>
      <c r="P17" s="277" t="s">
        <v>809</v>
      </c>
      <c r="Q17" s="278" t="s">
        <v>39</v>
      </c>
      <c r="R17" s="869" t="s">
        <v>41</v>
      </c>
      <c r="S17" s="870"/>
      <c r="T17" s="278" t="s">
        <v>40</v>
      </c>
      <c r="U17" s="287" t="s">
        <v>472</v>
      </c>
      <c r="W17" s="879" t="s">
        <v>1052</v>
      </c>
      <c r="X17" s="879"/>
      <c r="Y17" s="879"/>
      <c r="Z17" s="879"/>
    </row>
    <row r="18" spans="1:26" ht="15" customHeight="1" x14ac:dyDescent="0.25">
      <c r="A18" s="73"/>
      <c r="B18" s="89"/>
      <c r="C18" s="561"/>
      <c r="D18" s="874"/>
      <c r="E18" s="875"/>
      <c r="F18" s="562"/>
      <c r="H18" s="73"/>
      <c r="I18" s="684"/>
      <c r="J18" s="684"/>
      <c r="K18" s="561"/>
      <c r="L18" s="89"/>
      <c r="M18" s="864"/>
      <c r="N18" s="865"/>
      <c r="P18" s="73"/>
      <c r="Q18" s="89"/>
      <c r="R18" s="860"/>
      <c r="S18" s="861"/>
      <c r="T18" s="89"/>
      <c r="U18" s="562"/>
      <c r="Y18" s="147"/>
      <c r="Z18" s="147" t="s">
        <v>1048</v>
      </c>
    </row>
    <row r="19" spans="1:26" ht="15" customHeight="1" x14ac:dyDescent="0.25">
      <c r="A19" s="50"/>
      <c r="B19" s="89"/>
      <c r="C19" s="561"/>
      <c r="D19" s="874"/>
      <c r="E19" s="875"/>
      <c r="F19" s="562"/>
      <c r="H19" s="50"/>
      <c r="I19" s="684"/>
      <c r="J19" s="684"/>
      <c r="K19" s="561"/>
      <c r="L19" s="89"/>
      <c r="M19" s="864"/>
      <c r="N19" s="865"/>
      <c r="P19" s="50"/>
      <c r="Q19" s="89"/>
      <c r="R19" s="860"/>
      <c r="S19" s="861"/>
      <c r="T19" s="89"/>
      <c r="U19" s="562"/>
      <c r="W19" s="878" t="s">
        <v>703</v>
      </c>
      <c r="X19" s="878"/>
      <c r="Y19" s="29"/>
      <c r="Z19" s="631">
        <f>SUM(SUMIF($A$5:$A$14,$Y$19,$B$5:$B$14),SUMIF($A$5:$A$14,$Y$19,$C$5:$C$14),SUMIF($E$5:$E$14,$Y$19,$F$5:$F$14),SUMIF($J$5:$J$14,$Y$19,$K$5:$K$14),SUMIF($N$5:$N$14,$Y$19,$O$5:$P$14),SUMIF($A$18:$A$87,$Y$19,$C$18:$C$87),SUMIF($H$18:$H$87,$Y$19,$K$18:$K$87),SUMIF($P$18:$P$87,$Y$19,$R$18:$S$87),SUMIF($A$91:$A$160,$Y$19,$C$91:$C$160),SUMIF($H$91:$H$160,$Y$19,$K$91:$K$160),SUMIF($P$91:$P$160,$Y$19,$R$91:$S$160))</f>
        <v>0</v>
      </c>
    </row>
    <row r="20" spans="1:26" ht="15" customHeight="1" x14ac:dyDescent="0.25">
      <c r="A20" s="73"/>
      <c r="B20" s="89"/>
      <c r="C20" s="561"/>
      <c r="D20" s="874"/>
      <c r="E20" s="875"/>
      <c r="F20" s="562"/>
      <c r="H20" s="50"/>
      <c r="I20" s="684"/>
      <c r="J20" s="684"/>
      <c r="K20" s="561"/>
      <c r="L20" s="89"/>
      <c r="M20" s="864"/>
      <c r="N20" s="865"/>
      <c r="P20" s="50"/>
      <c r="Q20" s="89"/>
      <c r="R20" s="860"/>
      <c r="S20" s="861"/>
      <c r="T20" s="89"/>
      <c r="U20" s="562"/>
      <c r="W20" s="891"/>
      <c r="X20" s="878"/>
      <c r="Y20" s="125" t="s">
        <v>169</v>
      </c>
      <c r="Z20" s="633"/>
    </row>
    <row r="21" spans="1:26" ht="15" customHeight="1" x14ac:dyDescent="0.25">
      <c r="A21" s="50"/>
      <c r="B21" s="89"/>
      <c r="C21" s="561"/>
      <c r="D21" s="874"/>
      <c r="E21" s="875"/>
      <c r="F21" s="562"/>
      <c r="H21" s="50"/>
      <c r="I21" s="684"/>
      <c r="J21" s="684"/>
      <c r="K21" s="561"/>
      <c r="L21" s="89"/>
      <c r="M21" s="864"/>
      <c r="N21" s="865"/>
      <c r="P21" s="50"/>
      <c r="Q21" s="89"/>
      <c r="R21" s="860"/>
      <c r="S21" s="861"/>
      <c r="T21" s="89"/>
      <c r="U21" s="562"/>
      <c r="W21" s="878" t="s">
        <v>171</v>
      </c>
      <c r="X21" s="878"/>
      <c r="Y21" s="125">
        <f>SUM(COUNTIF($A$18:$A$87,$Y$19),COUNTIF($H$18:$H$87,$Y$19),COUNTIF($P$18:$P$87,$Y$19),COUNTIF($A$91:$A$160,$Y$19),COUNTIF($H$91:$H$160,$Y$19),COUNTIF($P$91:$P$160,$Y$19))</f>
        <v>0</v>
      </c>
      <c r="Z21" s="631">
        <f>SUM(SUMIF($A$18:$A$87,$Y$19,$C$18:$C$87),SUMIF($H$18:$H$87,$Y$19,$K$18:$K$87),SUMIF($P$18:$P$87,$Y$19,$R$18:$S$87),SUMIF($A$91:$A$160,$Y$19,$C$91:$C$160),SUMIF($H$91:$H$160,$Y$19,$K$91:$K$160),SUMIF($P$91:$P$160,$Y$19,$R$91:$S$160))</f>
        <v>0</v>
      </c>
    </row>
    <row r="22" spans="1:26" ht="15" customHeight="1" x14ac:dyDescent="0.25">
      <c r="A22" s="73"/>
      <c r="B22" s="89"/>
      <c r="C22" s="561"/>
      <c r="D22" s="874"/>
      <c r="E22" s="875"/>
      <c r="F22" s="562"/>
      <c r="H22" s="50"/>
      <c r="I22" s="684"/>
      <c r="J22" s="684"/>
      <c r="K22" s="561"/>
      <c r="L22" s="89"/>
      <c r="M22" s="864"/>
      <c r="N22" s="865"/>
      <c r="P22" s="50"/>
      <c r="Q22" s="89"/>
      <c r="R22" s="860"/>
      <c r="S22" s="861"/>
      <c r="T22" s="89"/>
      <c r="U22" s="562"/>
      <c r="W22" s="878" t="s">
        <v>1049</v>
      </c>
      <c r="X22" s="878"/>
      <c r="Y22" s="632"/>
      <c r="Z22" s="631">
        <f>SUMIF($A$5:$A$14,$Y$19,$C$5:$C$14)</f>
        <v>0</v>
      </c>
    </row>
    <row r="23" spans="1:26" ht="15" customHeight="1" x14ac:dyDescent="0.25">
      <c r="A23" s="50"/>
      <c r="B23" s="89"/>
      <c r="C23" s="561"/>
      <c r="D23" s="874"/>
      <c r="E23" s="875"/>
      <c r="F23" s="562"/>
      <c r="H23" s="50"/>
      <c r="I23" s="684"/>
      <c r="J23" s="684"/>
      <c r="K23" s="561"/>
      <c r="L23" s="89"/>
      <c r="M23" s="864"/>
      <c r="N23" s="865"/>
      <c r="P23" s="50"/>
      <c r="Q23" s="89"/>
      <c r="R23" s="860"/>
      <c r="S23" s="861"/>
      <c r="T23" s="89"/>
      <c r="U23" s="562"/>
      <c r="W23" s="878" t="s">
        <v>1050</v>
      </c>
      <c r="X23" s="878" t="s">
        <v>1050</v>
      </c>
      <c r="Y23" s="125">
        <f>SUM(COUNTIFS($A$18:$A$87,$Y$19,$F$18:$F$87,"Staff"),COUNTIFS($H$18:$H$87,$Y$19,$M$18:$M$87,"Staff"),COUNTIFS($P$18:$P$87,$Y$19,$U$18:$U$87,"Staff"),COUNTIFS($A$91:$A$160,$Y$19,$F$91:$F$160,"Staff"),COUNTIFS($H$91:$H$160,$Y$19,$M$91:$M$160,"Staff"),COUNTIFS($P$91:$P$160,$Y$19,$U$91:$U$160,"Staff"))</f>
        <v>0</v>
      </c>
      <c r="Z23" s="631">
        <f>SUM(SUMIF($A$5:$A$14,$Y$19,$B$5:$B$14),SUMIF($E$5:$E$14,$Y$19,$F$5:$F$14),SUMIF($J$5:$J$14,$Y$19,$K$5:$K$14),SUMIF($N$5:$N$14,$Y$19,$O$5:$P$14),SUMIFS($C$18:$C$87,$A$18:$A$87,$Y$19,$F$18:$F$87,"Staff"),SUMIFS($K$18:$K$87,$H$18:$H$87,$Y$19,$M$18:$M$87,"Staff"),SUMIFS($R$18:$R$87,$P$18:$P$87,$Y$19,$U$18:$U$87,"Staff"),SUMIFS($C$91:$C$160,$A$91:$A$160,$Y$19,$F$91:$F$160,"Staff"),SUMIFS($K$91:$K$160,$H$91:$H$160,$Y$19,$M$91:$M$160,"Staff"),SUMIFS($R$91:$R$160,$P$91:$P$160,$Y$19,$U$91:$U$160,"Staff"))</f>
        <v>0</v>
      </c>
    </row>
    <row r="24" spans="1:26" ht="15" customHeight="1" x14ac:dyDescent="0.25">
      <c r="A24" s="73"/>
      <c r="B24" s="89"/>
      <c r="C24" s="561"/>
      <c r="D24" s="874"/>
      <c r="E24" s="875"/>
      <c r="F24" s="562"/>
      <c r="H24" s="50"/>
      <c r="I24" s="684"/>
      <c r="J24" s="684"/>
      <c r="K24" s="561"/>
      <c r="L24" s="89"/>
      <c r="M24" s="864"/>
      <c r="N24" s="865"/>
      <c r="O24" s="112"/>
      <c r="P24" s="50"/>
      <c r="Q24" s="89"/>
      <c r="R24" s="860"/>
      <c r="S24" s="861"/>
      <c r="T24" s="89"/>
      <c r="U24" s="562"/>
      <c r="W24" s="878" t="s">
        <v>388</v>
      </c>
      <c r="X24" s="878"/>
      <c r="Y24" s="125">
        <f>SUM(COUNTIFS($A$18:$A$87,$Y$19,$F$18:$F$87,"20 / 20"),COUNTIFS($H$18:$H$87,$Y$19,$M$18:$M$87,"20 / 20"),COUNTIFS($P$18:$P$87,$Y$19,$U$18:$U$87,"20 / 20"),COUNTIFS($A$91:$A$160,$Y$19,$F$91:$F$160,"20 / 20"),COUNTIFS($H$91:$H$160,$Y$19,$M$91:$M$160,"20 / 20"),COUNTIFS($P$91:$P$160,$Y$19,$U$91:$U$160,"20 / 20"),COUNTIFS($A$18:$A$87,$Y$19,$F$18:$F$87,"30 / 30"),COUNTIFS($H$18:$H$87,$Y$19,$M$18:$M$87,"30 / 30"),COUNTIFS($P$18:$P$87,$Y$19,$U$18:$U$87,"30 / 30"),COUNTIFS($A$91:$A$160,$Y$19,$F$91:$F$160,"30 / 30"),COUNTIFS($H$91:$H$160,$Y$19,$M$91:$M$160,"30 / 30"),COUNTIFS($P$91:$P$160,$Y$19,$U$91:$U$160,"30 / 30"),COUNTIFS($A$18:$A$87,$Y$19,$F$18:$F$87,"40 / 40"),COUNTIFS($H$18:$H$87,$Y$19,$M$18:$M$87,"40 / 40"),COUNTIFS($P$18:$P$87,$Y$19,$U$18:$U$87,"40 / 40"),COUNTIFS($A$91:$A$160,$Y$19,$F$91:$F$160,"40 / 40"),COUNTIFS($H$91:$H$160,$Y$19,$M$91:$M$160,"40 / 40"),COUNTIFS($P$91:$P$160,$Y$19,$U$91:$U$160,"40 / 40"),COUNTIFS($A$18:$A$87,$Y$19,$F$18:$F$87,"40 / Low-HOME"),COUNTIFS($H$18:$H$87,$Y$19,$M$18:$M$87,"40 / Low-HOME"),COUNTIFS($P$18:$P$87,$Y$19,$U$18:$U$87,"40 / Low-HOME"),COUNTIFS($A$91:$A$160,$Y$19,$F$91:$F$160,"40 / Low-HOME"),COUNTIFS($H$91:$H$160,$Y$19,$M$91:$M$160,"40 / Low-HOME"),COUNTIFS($P$91:$P$160,$Y$19,$U$91:$U$160,"40 / Low-HOME"),COUNTIFS($A$18:$A$87,$Y$19,$F$18:$F$87,"50 / Low-HOME"),COUNTIFS($H$18:$H$87,$Y$19,$M$18:$M$87,"50 / Low-HOME"),COUNTIFS($P$18:$P$87,$Y$19,$U$18:$U$87,"50 / Low-HOME"),COUNTIFS($A$91:$A$160,$Y$19,$F$91:$F$160,"50 / Low-HOME"),COUNTIFS($H$91:$H$160,$Y$19,$M$91:$M$160,"50 / Low-HOME"),COUNTIFS($P$91:$P$160,$Y$19,$U$91:$U$160,"50 / Low-HOME"),COUNTIFS($A$18:$A$87,$Y$19,$F$18:$F$87,"50 / 50"),COUNTIFS($H$18:$H$87,$Y$19,$M$18:$M$87,"50 / 50"),COUNTIFS($P$18:$P$87,$Y$19,$U$18:$U$87,"50 / 50"),COUNTIFS($A$91:$A$160,$Y$19,$F$91:$F$160,"50 / 50"),COUNTIFS($H$91:$H$160,$Y$19,$M$91:$M$160,"50 / 50"),COUNTIFS($P$91:$P$160,$Y$19,$U$91:$U$160,"50 / 50"),COUNTIFS($A$18:$A$87,$Y$19,$F$18:$F$87,"60 / 60"),COUNTIFS($H$18:$H$87,$Y$19,$M$18:$M$87,"60 / 60"),COUNTIFS($P$18:$P$87,$Y$19,$U$18:$U$87,"60 / 60"),COUNTIFS($A$91:$A$160,$Y$19,$F$91:$F$160,"60 / 60"),COUNTIFS($H$91:$H$160,$Y$19,$M$91:$M$160,"60 / 60"),COUNTIFS($P$91:$P$160,$Y$19,$U$91:$U$160,"60 / 60"),COUNTIFS($A$18:$A$87,$Y$19,$F$18:$F$87,"60 / High-HOME"),COUNTIFS($H$18:$H$87,$Y$19,$M$18:$M$87,"60 / High-HOME"),COUNTIFS($P$18:$P$87,$Y$19,$U$18:$U$87,"60 / High-HOME"),COUNTIFS($A$91:$A$160,$Y$19,$F$91:$F$160,"60 / High-HOME"),COUNTIFS($H$91:$H$160,$Y$19,$M$91:$M$160,"60 / High-HOME"),COUNTIFS($P$91:$P$160,$Y$19,$U$91:$U$160,"60 / High-HOME"),COUNTIFS($A$18:$A$87,$Y$19,$F$18:$F$87,"70 / 70"),COUNTIFS($H$18:$H$87,$Y$19,$M$18:$M$87,"70 / 70"),COUNTIFS($P$18:$P$87,$Y$19,$U$18:$U$87,"70 / 70"),COUNTIFS($A$91:$A$160,$Y$19,$F$91:$F$160,"70 / 70"),COUNTIFS($H$91:$H$160,$Y$19,$M$91:$M$160,"70 / 70"),COUNTIFS($P$91:$P$160,$Y$19,$U$91:$U$160,"70 / 70"),COUNTIFS($A$18:$A$87,$Y$19,$F$18:$F$87,"80 / High-HOME"),COUNTIFS($H$18:$H$87,$Y$19,$M$18:$M$87,"80 / High-HOME"),COUNTIFS($P$18:$P$87,$Y$19,$U$18:$U$87,"80 / High-HOME"),COUNTIFS($A$91:$A$160,$Y$19,$F$91:$F$160,"80 / High-HOME"),COUNTIFS($H$91:$H$160,$Y$19,$M$91:$M$160,"80 / High-HOME"),COUNTIFS($P$91:$P$160,$Y$19,$U$91:$U$160,"80 / High-HOME"),COUNTIFS($A$18:$A$87,$Y$19,$F$18:$F$87,"80 / 50"),COUNTIFS($H$18:$H$87,$Y$19,$M$18:$M$87,"80 / 50"),COUNTIFS($P$18:$P$87,$Y$19,$U$18:$U$87,"80 / 50"),COUNTIFS($A$91:$A$160,$Y$19,$F$91:$F$160,"80 / 50"),COUNTIFS($H$91:$H$160,$Y$19,$M$91:$M$160,"80 / 50"),COUNTIFS($P$91:$P$160,$Y$19,$U$91:$U$160,"80 / 50"),COUNTIFS($A$18:$A$87,$Y$19,$F$18:$F$87,"80 / 80"),COUNTIFS($H$18:$H$87,$Y$19,$M$18:$M$87,"80 / 80"),COUNTIFS($P$18:$P$87,$Y$19,$U$18:$U$87,"80 / 80"),COUNTIFS($A$91:$A$160,$Y$19,$F$91:$F$160,"80 / 80"),COUNTIFS($H$91:$H$160,$Y$19,$M$91:$M$160,"80 / 80"),COUNTIFS($P$91:$P$160,$Y$19,$U$91:$U$160,"80 / 80"))</f>
        <v>0</v>
      </c>
      <c r="Z24" s="631">
        <f>SUM(SUMIFS($C$18:$C$87,$A$18:$A$87,$Y$19,$F$18:$F$87,"20 / 20"),SUMIFS($K$18:$K$87,$H$18:$H$87,$Y$19,$M$18:$M$87,"20 / 20"),SUMIFS($R$18:$R$87,$P$18:$P$87,$Y$19,$U$18:$U$87,"20 / 20"),SUMIFS($C$91:$C$160,$A$91:$A$160,$Y$19,$F$91:$F$160,"20 / 20"),SUMIFS($K$91:$K$160,$H$91:$H$160,$Y$19,$M$91:$M$160,"20 / 20"),SUMIFS($R$91:$R$160,$P$91:$P$160,$Y$19,$U$91:$U$160,"20 / 20"),SUMIFS($C$18:$C$87,$A$18:$A$87,$Y$19,$F$18:$F$87,"30 / 30"),SUMIFS($K$18:$K$87,$H$18:$H$87,$Y$19,$M$18:$M$87,"30 / 30"),SUMIFS($R$18:$R$87,$P$18:$P$87,$Y$19,$U$18:$U$87,"30 / 30"),SUMIFS($C$91:$C$160,$A$91:$A$160,$Y$19,$F$91:$F$160,"30 / 30"),SUMIFS($K$91:$K$160,$H$91:$H$160,$Y$19,$M$91:$M$160,"30 / 30"),SUMIFS($R$91:$R$160,$P$91:$P$160,$Y$19,$U$91:$U$160,"30 / 30"),SUMIFS($C$18:$C$87,$A$18:$A$87,$Y$19,$F$18:$F$87,"40 / 40"),SUMIFS($K$18:$K$87,$H$18:$H$87,$Y$19,$M$18:$M$87,"40 / 40"),SUMIFS($R$18:$R$87,$P$18:$P$87,$Y$19,$U$18:$U$87,"40 / 40"),SUMIFS($C$91:$C$160,$A$91:$A$160,$Y$19,$F$91:$F$160,"40 / 40"),SUMIFS($K$91:$K$160,$H$91:$H$160,$Y$19,$M$91:$M$160,"40 / 40"),SUMIFS($R$91:$R$160,$P$91:$P$160,$Y$19,$U$91:$U$160,"40 / 40"),SUMIFS($C$18:$C$87,$A$18:$A$87,$Y$19,$F$18:$F$87,"50 / Low-HOME"),SUMIFS($K$18:$K$87,$H$18:$H$87,$Y$19,$M$18:$M$87,"50 / Low-HOME"),SUMIFS($R$18:$R$87,$P$18:$P$87,$Y$19,$U$18:$U$87,"50 / Low-HOME"),SUMIFS($C$91:$C$160,$A$91:$A$160,$Y$19,$F$91:$F$160,"50 / Low-HOME"),SUMIFS($K$91:$K$160,$H$91:$H$160,$Y$19,$M$91:$M$160,"50 / Low-HOME"),SUMIFS($R$91:$R$160,$P$91:$P$160,$Y$19,$U$91:$U$160,"50 / Low-HOME"),SUMIFS($C$18:$C$87,$A$18:$A$87,$Y$19,$F$18:$F$87,"50 / 50"),SUMIFS($K$18:$K$87,$H$18:$H$87,$Y$19,$M$18:$M$87,"50 / 50"),SUMIFS($R$18:$R$87,$P$18:$P$87,$Y$19,$U$18:$U$87,"50 / 50"),SUMIFS($C$91:$C$160,$A$91:$A$160,$Y$19,$F$91:$F$160,"50 / 50"),SUMIFS($K$91:$K$160,$H$91:$H$160,$Y$19,$M$91:$M$160,"50 / 50"),SUMIFS($R$91:$R$160,$P$91:$P$160,$Y$19,$U$91:$U$160,"50 / 50"),SUMIFS($C$18:$C$87,$A$18:$A$87,$Y$19,$F$18:$F$87,"60 / 60"),SUMIFS($K$18:$K$87,$H$18:$H$87,$Y$19,$M$18:$M$87,"60 / 60"),SUMIFS($R$18:$R$87,$P$18:$P$87,$Y$19,$U$18:$U$87,"60 / 60"),SUMIFS($C$91:$C$160,$A$91:$A$160,$Y$19,$F$91:$F$160,"60 / 60"),SUMIFS($K$91:$K$160,$H$91:$H$160,$Y$19,$M$91:$M$160,"60 / 60"),SUMIFS($R$91:$R$160,$P$91:$P$160,$Y$19,$U$91:$U$160,"60 / 60"),SUMIFS($C$18:$C$87,$A$18:$A$87,$Y$19,$F$18:$F$87,"60 / High-HOME"),SUMIFS($K$18:$K$87,$H$18:$H$87,$Y$19,$M$18:$M$87,"60 / High-HOME"),SUMIFS($R$18:$R$87,$P$18:$P$87,$Y$19,$U$18:$U$87,"60 / High-HOME"),SUMIFS($C$91:$C$160,$A$91:$A$160,$Y$19,$F$91:$F$160,"60 / High-HOME"),SUMIFS($K$91:$K$160,$H$91:$H$160,$Y$19,$M$91:$M$160,"60 / High-HOME"),SUMIFS($R$91:$R$160,$P$91:$P$160,$Y$19,$U$91:$U$160,"60 / High-HOME"),SUMIFS($C$18:$C$87,$A$18:$A$87,$Y$19,$F$18:$F$87,"70 / 70"),SUMIFS($K$18:$K$87,$H$18:$H$87,$Y$19,$H$18:$H$87,$Y$19,$M$18:$M$87,"70 / 70"),SUMIFS($R$18:$R$87,$P$18:$P$87,$Y$19,$U$18:$U$87,"70 / 70"),SUMIFS($C$91:$C$160,$A$91:$A$160,$Y$19,$F$91:$F$160,"70 / 70"),SUMIFS($K$91:$K$160,$H$91:$H$160,$Y$19,$H$91:$H$160,$Y$19,$M$91:$M$160,"70 / 70"),SUMIFS($R$91:$R$160,$P$91:$P$160,$Y$19,$U$91:$U$160,"70 / 70"),SUMIFS($C$18:$C$87,$A$18:$A$87,$Y$19,$F$18:$F$87,"80 / High-HOME"),SUMIFS($K$18:$K$87,$H$18:$H$87,$Y$19,$H$18:$H$87,$Y$19,$M$18:$M$87,"80 / High-HOME"),SUMIFS($R$18:$R$87,$P$18:$P$87,$Y$19,$U$18:$U$87,"80 / High-HOME"),SUMIFS($C$91:$C$160,$A$91:$A$160,$Y$19,$F$91:$F$160,"80 / High-HOME"),SUMIFS($K$91:$K$160,$H$91:$H$160,$Y$19,$H$91:$H$160,$Y$19,$M$91:$M$160,"80 / High-HOME"),SUMIFS($R$91:$R$160,$P$91:$P$160,$Y$19,$U$91:$U$160,"80 / High-HOME"),SUMIFS($C$18:$C$87,$A$18:$A$87,$Y$19,$F$18:$F$87,"80 / 50"),SUMIFS($K$18:$K$87,$H$18:$H$87,$Y$19,$M$18:$M$87,"80 / 50"),SUMIFS($R$18:$R$87,$P$18:$P$87,$Y$19,$U$18:$U$87,"80 / 50"),SUMIFS($C$91:$C$160,$A$91:$A$160,$Y$19,$F$91:$F$160,"80 / 50"),SUMIFS($K$91:$K$160,$H$91:$H$160,$Y$19,$M$91:$M$160,"80 / 50"),SUMIFS($R$91:$R$160,$P$91:$P$160,$Y$19,$U$91:$U$160,"80 / 50"),SUMIFS($C$18:$C$87,$A$18:$A$87,$Y$19,$F$18:$F$87,"80 / 80"),SUMIFS($K$18:$K$87,$H$18:$H$87,$Y$19,$M$18:$M$87,"80 / 80"),SUMIFS($R$18:$R$87,$P$18:$P$87,$Y$19,$U$18:$U$87,"80 / 80"),SUMIFS($C$91:$C$160,$A$91:$A$160,$Y$19,$F$91:$F$160,"80 / 80"),SUMIFS($K$91:$K$160,$H$91:$H$160,$Y$19,$M$91:$M$160,"80 / 80"),SUMIFS($R$91:$R$160,$P$91:$P$160,$Y$19,$U$91:$U$160,"80 / 80"))</f>
        <v>0</v>
      </c>
    </row>
    <row r="25" spans="1:26" ht="15" customHeight="1" x14ac:dyDescent="0.25">
      <c r="A25" s="50"/>
      <c r="B25" s="89"/>
      <c r="C25" s="561"/>
      <c r="D25" s="874"/>
      <c r="E25" s="875"/>
      <c r="F25" s="562"/>
      <c r="H25" s="50"/>
      <c r="I25" s="684"/>
      <c r="J25" s="684"/>
      <c r="K25" s="561"/>
      <c r="L25" s="89"/>
      <c r="M25" s="864"/>
      <c r="N25" s="865"/>
      <c r="P25" s="50"/>
      <c r="Q25" s="89"/>
      <c r="R25" s="860"/>
      <c r="S25" s="861"/>
      <c r="T25" s="89"/>
      <c r="U25" s="562"/>
      <c r="W25" s="878" t="s">
        <v>1051</v>
      </c>
      <c r="X25" s="878"/>
      <c r="Y25" s="125">
        <f>SUM(COUNTIFS($A$18:$A$87,$Y$19,$F$18:$F$87,"140 / 80"),COUNTIFS($H$18:$H$87,$Y$19,$M$18:$M$87,"140 / 80"),COUNTIFS($P$18:$P$87,$Y$19,$U$18:$U$87,"140 / 80"),COUNTIFS($A$91:$A$160,$Y$19,$F$91:$F$160,"140 / 80"),COUNTIFS($H$91:$H$160,$Y$19,$M$91:$M$160,"140 / 80"),COUNTIFS($P$91:$P$160,$Y$19,$U$91:$U$160,"140 / 80"),COUNTIFS($A$18:$A$87,$Y$19,$F$18:$F$87,"Other Restricted"),COUNTIFS($H$18:$H$87,$Y$19,$M$18:$M$87,"Other Restricted"),COUNTIFS($P$18:$P$87,$Y$19,$U$18:$U$87,"Other Restricted"),COUNTIFS($A$91:$A$160,$Y$19,$F$91:$F$160,"Other Restricted"),COUNTIFS($H$91:$H$160,$Y$19,$M$91:$M$160,"Other Restricted"),COUNTIFS($P$91:$P$160,$Y$19,$U$91:$U$160,"Other Restricted"),COUNTIFS($A$18:$A$87,$Y$19,$F$18:$F$87,"Unrestricted"),COUNTIFS($H$18:$H$87,$Y$19,$M$18:$M$87,"Unrestricted"),COUNTIFS($P$18:$P$87,$Y$19,$U$18:$U$87,"Unrestricted"),COUNTIFS($A$91:$A$160,$Y$19,$F$91:$F$160,"Unrestricted"),COUNTIFS($H$91:$H$160,$Y$19,$M$91:$M$160,"Unrestricted"),COUNTIFS($P$91:$P$160,$Y$19,$U$91:$U$160,"Unrestricted"))</f>
        <v>0</v>
      </c>
      <c r="Z25" s="631">
        <f>SUM(SUMIFS($C$18:$C$87,$A$18:$A$87,$Y$19,$F$18:$F$87,"140 / 80"),SUMIFS($K$18:$K$87,$H$18:$H$87,$Y$19,$M$18:$M$87,"140 / 80"),SUMIFS($R$18:$R$87,$P$18:$P$87,$Y$19,$U$18:$U$87,"140 / 80"),SUMIFS($C$91:$C$160,$A$91:$A$160,$Y$19,$F$91:$F$160,"140 / 80"),SUMIFS($K$91:$K$160,$H$91:$H$160,$Y$19,$M$91:$M$160,"140 / 80"),SUMIFS($R$91:$R$160,$P$91:$P$160,$Y$19,$U$91:$U$160,"140 / 80"),SUMIFS($C$18:$C$87,$A$18:$A$87,$Y$19,$F$18:$F$87,"Other Restricted"),SUMIFS($K$18:$K$87,$H$18:$H$87,$Y$19,$M$18:$M$87,"Other Restricted"),SUMIFS($R$18:$R$87,$P$18:$P$87,$Y$19,$U$18:$U$87,"Other Restricted"),SUMIFS($C$91:$C$160,$A$91:$A$160,$Y$19,$F$91:$F$160,"Other Restricted"),SUMIFS($K$91:$K$160,$H$91:$H$160,$Y$19,$M$91:$M$160,"Other Restricted"),SUMIFS($R$91:$R$160,$P$91:$P$160,$Y$19,$U$91:$U$160,"Other Restricted"),SUMIFS($C$18:$C$87,$A$18:$A$87,$Y$19,$F$18:$F$87,"Unrestricted"),SUMIFS($K$18:$K$87,$H$18:$H$87,$Y$19,$M$18:$M$87,"Unrestricted"),SUMIFS($R$18:$R$87,$P$18:$P$87,$Y$19,$U$18:$U$87,"Unrestricted"),SUMIFS($C$91:$C$160,$A$91:$A$160,$Y$19,$F$91:$F$160,"Unrestricted"),SUMIFS($K$91:$K$160,$H$91:$H$160,$Y$19,$M$91:$M$160,"Unrestricted"),SUMIFS($R$91:$R$160,$P$91:$P$160,$Y$19,$U$91:$U$160,"Unrestricted"))</f>
        <v>0</v>
      </c>
    </row>
    <row r="26" spans="1:26" ht="15" customHeight="1" x14ac:dyDescent="0.25">
      <c r="A26" s="73"/>
      <c r="B26" s="89"/>
      <c r="C26" s="561"/>
      <c r="D26" s="874"/>
      <c r="E26" s="875"/>
      <c r="F26" s="562"/>
      <c r="H26" s="73"/>
      <c r="I26" s="684"/>
      <c r="J26" s="684"/>
      <c r="K26" s="561"/>
      <c r="L26" s="89"/>
      <c r="M26" s="864"/>
      <c r="N26" s="865"/>
      <c r="P26" s="73"/>
      <c r="Q26" s="89"/>
      <c r="R26" s="860"/>
      <c r="S26" s="861"/>
      <c r="T26" s="89"/>
      <c r="U26" s="562"/>
    </row>
    <row r="27" spans="1:26" ht="15" customHeight="1" x14ac:dyDescent="0.25">
      <c r="A27" s="50"/>
      <c r="B27" s="89"/>
      <c r="C27" s="561"/>
      <c r="D27" s="874"/>
      <c r="E27" s="875"/>
      <c r="F27" s="562"/>
      <c r="H27" s="50"/>
      <c r="I27" s="684"/>
      <c r="J27" s="684"/>
      <c r="K27" s="561"/>
      <c r="L27" s="89"/>
      <c r="M27" s="864"/>
      <c r="N27" s="865"/>
      <c r="P27" s="50"/>
      <c r="Q27" s="89"/>
      <c r="R27" s="860"/>
      <c r="S27" s="861"/>
      <c r="T27" s="89"/>
      <c r="U27" s="562"/>
      <c r="Y27" t="s">
        <v>1084</v>
      </c>
    </row>
    <row r="28" spans="1:26" ht="15" customHeight="1" x14ac:dyDescent="0.25">
      <c r="A28" s="73"/>
      <c r="B28" s="89"/>
      <c r="C28" s="561"/>
      <c r="D28" s="874"/>
      <c r="E28" s="875"/>
      <c r="F28" s="562"/>
      <c r="H28" s="50"/>
      <c r="I28" s="684"/>
      <c r="J28" s="684"/>
      <c r="K28" s="561"/>
      <c r="L28" s="89"/>
      <c r="M28" s="864"/>
      <c r="N28" s="865"/>
      <c r="P28" s="50"/>
      <c r="Q28" s="89"/>
      <c r="R28" s="860"/>
      <c r="S28" s="861"/>
      <c r="T28" s="89"/>
      <c r="U28" s="562"/>
      <c r="W28" s="147"/>
      <c r="X28" s="147" t="s">
        <v>1083</v>
      </c>
      <c r="Y28" s="364"/>
    </row>
    <row r="29" spans="1:26" ht="15" customHeight="1" x14ac:dyDescent="0.25">
      <c r="A29" s="50"/>
      <c r="B29" s="89"/>
      <c r="C29" s="561"/>
      <c r="D29" s="874"/>
      <c r="E29" s="875"/>
      <c r="F29" s="562"/>
      <c r="H29" s="50"/>
      <c r="I29" s="684"/>
      <c r="J29" s="684"/>
      <c r="K29" s="561"/>
      <c r="L29" s="89"/>
      <c r="M29" s="864"/>
      <c r="N29" s="865"/>
      <c r="P29" s="50"/>
      <c r="Q29" s="89"/>
      <c r="R29" s="860"/>
      <c r="S29" s="861"/>
      <c r="T29" s="89"/>
      <c r="U29" s="562"/>
      <c r="W29" s="194" t="s">
        <v>57</v>
      </c>
      <c r="X29" s="621">
        <f>SUM(COUNTIF($D$18:$D$87,$W29)+COUNTIF($L$18:$L$87,$W29)+COUNTIF($T$18:$T$87,$W29)+COUNTIF($D$91:$D$160,$W29)+COUNTIF($L$91:$L$160,$W29)+COUNTIF($T$91:$T$160,$W29))</f>
        <v>0</v>
      </c>
      <c r="Y29" s="622">
        <f>SUM(COUNTIFS($A$18:$A$87,$Y$28,$D$18:$D$87,$W29)+COUNTIFS($H$18:$H$87,$Y$28,$L$18:$L$87,$W29)+COUNTIFS($P$18:$P$87,$Y$28,$T$18:$T$87,$W29)+COUNTIFS($A$91:$A$160,$Y$28,$D$91:$D$160,$W29)+COUNTIFS($H$91:$H$160,$Y$28,$L$91:$L$160,$W29)+COUNTIFS($P$91:$P$160,$Y$28,$T$91:$T$160,$W29))</f>
        <v>0</v>
      </c>
    </row>
    <row r="30" spans="1:26" ht="15" customHeight="1" x14ac:dyDescent="0.25">
      <c r="A30" s="73"/>
      <c r="B30" s="89"/>
      <c r="C30" s="561"/>
      <c r="D30" s="874"/>
      <c r="E30" s="875"/>
      <c r="F30" s="562"/>
      <c r="H30" s="50"/>
      <c r="I30" s="684"/>
      <c r="J30" s="684"/>
      <c r="K30" s="561"/>
      <c r="L30" s="89"/>
      <c r="M30" s="864"/>
      <c r="N30" s="865"/>
      <c r="P30" s="50"/>
      <c r="Q30" s="89"/>
      <c r="R30" s="860"/>
      <c r="S30" s="861"/>
      <c r="T30" s="89"/>
      <c r="U30" s="562"/>
      <c r="W30" s="194">
        <v>1</v>
      </c>
      <c r="X30" s="621">
        <f>SUM(COUNTIF($D$18:$D$87,$W30)+COUNTIF($L$18:$L$87,$W30)+COUNTIF($T$18:$T$87,$W30)+COUNTIF($D$91:$D$160,$W30)+COUNTIF($L$91:$L$160,$W30)+COUNTIF($T$91:$T$160,$W30))</f>
        <v>0</v>
      </c>
      <c r="Y30" s="622">
        <f>SUM(COUNTIFS($A$18:$A$87,$Y$28,$D$18:$D$87,$W30)+COUNTIFS($H$18:$H$87,$Y$28,$L$18:$L$87,$W30)+COUNTIFS($P$18:$P$87,$Y$28,$T$18:$T$87,$W30)+COUNTIFS($A$91:$A$160,$Y$28,$D$91:$D$160,$W30)+COUNTIFS($H$91:$H$160,$Y$28,$L$91:$L$160,$W30)+COUNTIFS($P$91:$P$160,$Y$28,$T$91:$T$160,$W30))</f>
        <v>0</v>
      </c>
    </row>
    <row r="31" spans="1:26" ht="15" customHeight="1" x14ac:dyDescent="0.25">
      <c r="A31" s="50"/>
      <c r="B31" s="89"/>
      <c r="C31" s="561"/>
      <c r="D31" s="874"/>
      <c r="E31" s="875"/>
      <c r="F31" s="562"/>
      <c r="H31" s="50"/>
      <c r="I31" s="684"/>
      <c r="J31" s="684"/>
      <c r="K31" s="561"/>
      <c r="L31" s="89"/>
      <c r="M31" s="864"/>
      <c r="N31" s="865"/>
      <c r="P31" s="50"/>
      <c r="Q31" s="89"/>
      <c r="R31" s="860"/>
      <c r="S31" s="861"/>
      <c r="T31" s="89"/>
      <c r="U31" s="562"/>
      <c r="W31" s="194">
        <v>2</v>
      </c>
      <c r="X31" s="621">
        <f>SUM(COUNTIF($D$18:$D$87,$W31)+COUNTIF($L$18:$L$87,$W31)+COUNTIF($T$18:$T$87,$W31)+COUNTIF($D$91:$D$160,$W31)+COUNTIF($L$91:$L$160,$W31)+COUNTIF($T$91:$T$160,$W31))</f>
        <v>0</v>
      </c>
      <c r="Y31" s="622">
        <f>SUM(COUNTIFS($A$18:$A$87,$Y$28,$D$18:$D$87,$W31)+COUNTIFS($H$18:$H$87,$Y$28,$L$18:$L$87,$W31)+COUNTIFS($P$18:$P$87,$Y$28,$T$18:$T$87,$W31)+COUNTIFS($A$91:$A$160,$Y$28,$D$91:$D$160,$W31)+COUNTIFS($H$91:$H$160,$Y$28,$L$91:$L$160,$W31)+COUNTIFS($P$91:$P$160,$Y$28,$T$91:$T$160,$W31))</f>
        <v>0</v>
      </c>
    </row>
    <row r="32" spans="1:26" ht="15" customHeight="1" x14ac:dyDescent="0.25">
      <c r="A32" s="73"/>
      <c r="B32" s="89"/>
      <c r="C32" s="561"/>
      <c r="D32" s="874"/>
      <c r="E32" s="875"/>
      <c r="F32" s="562"/>
      <c r="H32" s="50"/>
      <c r="I32" s="684"/>
      <c r="J32" s="684"/>
      <c r="K32" s="561"/>
      <c r="L32" s="89"/>
      <c r="M32" s="864"/>
      <c r="N32" s="865"/>
      <c r="P32" s="50"/>
      <c r="Q32" s="89"/>
      <c r="R32" s="860"/>
      <c r="S32" s="861"/>
      <c r="T32" s="89"/>
      <c r="U32" s="562"/>
      <c r="W32" s="194">
        <v>3</v>
      </c>
      <c r="X32" s="621">
        <f>SUM(COUNTIF($D$18:$D$87,$W32)+COUNTIF($L$18:$L$87,$W32)+COUNTIF($T$18:$T$87,$W32)+COUNTIF($D$91:$D$160,$W32)+COUNTIF($L$91:$L$160,$W32)+COUNTIF($T$91:$T$160,$W32))</f>
        <v>0</v>
      </c>
      <c r="Y32" s="622">
        <f>SUM(COUNTIFS($A$18:$A$87,$Y$28,$D$18:$D$87,$W32)+COUNTIFS($H$18:$H$87,$Y$28,$L$18:$L$87,$W32)+COUNTIFS($P$18:$P$87,$Y$28,$T$18:$T$87,$W32)+COUNTIFS($A$91:$A$160,$Y$28,$D$91:$D$160,$W32)+COUNTIFS($H$91:$H$160,$Y$28,$L$91:$L$160,$W32)+COUNTIFS($P$91:$P$160,$Y$28,$T$91:$T$160,$W32))</f>
        <v>0</v>
      </c>
    </row>
    <row r="33" spans="1:27" ht="15" customHeight="1" x14ac:dyDescent="0.25">
      <c r="A33" s="50"/>
      <c r="B33" s="89"/>
      <c r="C33" s="561"/>
      <c r="D33" s="874"/>
      <c r="E33" s="875"/>
      <c r="F33" s="562"/>
      <c r="H33" s="50"/>
      <c r="I33" s="684"/>
      <c r="J33" s="684"/>
      <c r="K33" s="561"/>
      <c r="L33" s="89"/>
      <c r="M33" s="864"/>
      <c r="N33" s="865"/>
      <c r="P33" s="50"/>
      <c r="Q33" s="89"/>
      <c r="R33" s="860"/>
      <c r="S33" s="861"/>
      <c r="T33" s="89"/>
      <c r="U33" s="562"/>
      <c r="W33" s="194">
        <v>4</v>
      </c>
      <c r="X33" s="621">
        <f>SUM(COUNTIF($D$18:$D$87,$W33)+COUNTIF($L$18:$L$87,$W33)+COUNTIF($T$18:$T$87,$W33)+COUNTIF($D$91:$D$160,$W33)+COUNTIF($L$91:$L$160,$W33)+COUNTIF($T$91:$T$160,$W33))</f>
        <v>0</v>
      </c>
      <c r="Y33" s="622">
        <f>SUM(COUNTIFS($A$18:$A$87,$Y$28,$D$18:$D$87,$W33)+COUNTIFS($H$18:$H$87,$Y$28,$L$18:$L$87,$W33)+COUNTIFS($P$18:$P$87,$Y$28,$T$18:$T$87,$W33)+COUNTIFS($A$91:$A$160,$Y$28,$D$91:$D$160,$W33)+COUNTIFS($H$91:$H$160,$Y$28,$L$91:$L$160,$W33)+COUNTIFS($P$91:$P$160,$Y$28,$T$91:$T$160,$W33))</f>
        <v>0</v>
      </c>
    </row>
    <row r="34" spans="1:27" ht="15" customHeight="1" x14ac:dyDescent="0.25">
      <c r="A34" s="73"/>
      <c r="B34" s="89"/>
      <c r="C34" s="561"/>
      <c r="D34" s="874"/>
      <c r="E34" s="875"/>
      <c r="F34" s="562"/>
      <c r="H34" s="50"/>
      <c r="I34" s="684"/>
      <c r="J34" s="684"/>
      <c r="K34" s="561"/>
      <c r="L34" s="89"/>
      <c r="M34" s="864"/>
      <c r="N34" s="865"/>
      <c r="P34" s="50"/>
      <c r="Q34" s="89"/>
      <c r="R34" s="860"/>
      <c r="S34" s="861"/>
      <c r="T34" s="89"/>
      <c r="U34" s="562"/>
    </row>
    <row r="35" spans="1:27" ht="15" customHeight="1" x14ac:dyDescent="0.25">
      <c r="A35" s="50"/>
      <c r="B35" s="89"/>
      <c r="C35" s="561"/>
      <c r="D35" s="874"/>
      <c r="E35" s="875"/>
      <c r="F35" s="562"/>
      <c r="H35" s="50"/>
      <c r="I35" s="684"/>
      <c r="J35" s="684"/>
      <c r="K35" s="561"/>
      <c r="L35" s="89"/>
      <c r="M35" s="864"/>
      <c r="N35" s="865"/>
      <c r="P35" s="50"/>
      <c r="Q35" s="89"/>
      <c r="R35" s="860"/>
      <c r="S35" s="861"/>
      <c r="T35" s="89"/>
      <c r="U35" s="562"/>
    </row>
    <row r="36" spans="1:27" ht="15" customHeight="1" x14ac:dyDescent="0.25">
      <c r="A36" s="73"/>
      <c r="B36" s="89"/>
      <c r="C36" s="561"/>
      <c r="D36" s="874"/>
      <c r="E36" s="875"/>
      <c r="F36" s="562"/>
      <c r="H36" s="50"/>
      <c r="I36" s="684"/>
      <c r="J36" s="684"/>
      <c r="K36" s="561"/>
      <c r="L36" s="89"/>
      <c r="M36" s="864"/>
      <c r="N36" s="865"/>
      <c r="P36" s="50"/>
      <c r="Q36" s="89"/>
      <c r="R36" s="860"/>
      <c r="S36" s="861"/>
      <c r="T36" s="89"/>
      <c r="U36" s="562"/>
      <c r="AA36" s="319"/>
    </row>
    <row r="37" spans="1:27" ht="15" customHeight="1" x14ac:dyDescent="0.25">
      <c r="A37" s="50"/>
      <c r="B37" s="89"/>
      <c r="C37" s="561"/>
      <c r="D37" s="874"/>
      <c r="E37" s="875"/>
      <c r="F37" s="562"/>
      <c r="H37" s="50"/>
      <c r="I37" s="684"/>
      <c r="J37" s="684"/>
      <c r="K37" s="561"/>
      <c r="L37" s="89"/>
      <c r="M37" s="864"/>
      <c r="N37" s="865"/>
      <c r="P37" s="50"/>
      <c r="Q37" s="89"/>
      <c r="R37" s="860"/>
      <c r="S37" s="861"/>
      <c r="T37" s="89"/>
      <c r="U37" s="562"/>
      <c r="W37" s="879" t="s">
        <v>1107</v>
      </c>
      <c r="X37" s="879"/>
      <c r="Y37" s="879"/>
      <c r="Z37" s="879"/>
      <c r="AA37" s="879"/>
    </row>
    <row r="38" spans="1:27" ht="15" customHeight="1" x14ac:dyDescent="0.25">
      <c r="A38" s="73"/>
      <c r="B38" s="89"/>
      <c r="C38" s="561"/>
      <c r="D38" s="874"/>
      <c r="E38" s="875"/>
      <c r="F38" s="562"/>
      <c r="H38" s="50"/>
      <c r="I38" s="684"/>
      <c r="J38" s="684"/>
      <c r="K38" s="561"/>
      <c r="L38" s="89"/>
      <c r="M38" s="864"/>
      <c r="N38" s="865"/>
      <c r="P38" s="50"/>
      <c r="Q38" s="89"/>
      <c r="R38" s="860"/>
      <c r="S38" s="861"/>
      <c r="T38" s="89"/>
      <c r="U38" s="562"/>
      <c r="W38" s="878" t="s">
        <v>1108</v>
      </c>
      <c r="X38" s="878"/>
      <c r="Y38" s="194" cm="1">
        <f t="array" ref="Y38">SUM(COUNTIFS($Y$41:$Z$160,'Project Summary'!$AN$133:$AN$146))</f>
        <v>0</v>
      </c>
      <c r="AA38" s="319"/>
    </row>
    <row r="39" spans="1:27" ht="15" customHeight="1" x14ac:dyDescent="0.25">
      <c r="A39" s="50"/>
      <c r="B39" s="89"/>
      <c r="C39" s="561"/>
      <c r="D39" s="874"/>
      <c r="E39" s="875"/>
      <c r="F39" s="562"/>
      <c r="H39" s="50"/>
      <c r="I39" s="684"/>
      <c r="J39" s="684"/>
      <c r="K39" s="561"/>
      <c r="L39" s="89"/>
      <c r="M39" s="864"/>
      <c r="N39" s="865"/>
      <c r="P39" s="50"/>
      <c r="Q39" s="89"/>
      <c r="R39" s="860"/>
      <c r="S39" s="861"/>
      <c r="T39" s="89"/>
      <c r="U39" s="562"/>
      <c r="W39" s="878" t="s">
        <v>1109</v>
      </c>
      <c r="X39" s="878"/>
      <c r="Y39" s="194">
        <f>SUM(COUNTIFS($AA$41:$AA$160,"&gt;1"))</f>
        <v>0</v>
      </c>
    </row>
    <row r="40" spans="1:27" ht="15" customHeight="1" x14ac:dyDescent="0.25">
      <c r="A40" s="73"/>
      <c r="B40" s="89"/>
      <c r="C40" s="561"/>
      <c r="D40" s="874"/>
      <c r="E40" s="875"/>
      <c r="F40" s="562"/>
      <c r="H40" s="50"/>
      <c r="I40" s="684"/>
      <c r="J40" s="684"/>
      <c r="K40" s="561"/>
      <c r="L40" s="89"/>
      <c r="M40" s="864"/>
      <c r="N40" s="865"/>
      <c r="P40" s="50"/>
      <c r="Q40" s="89"/>
      <c r="R40" s="860"/>
      <c r="S40" s="861"/>
      <c r="T40" s="89"/>
      <c r="U40" s="562"/>
      <c r="W40" s="147" t="s">
        <v>1084</v>
      </c>
      <c r="X40" s="147" t="s">
        <v>371</v>
      </c>
      <c r="Y40" s="892" t="s">
        <v>472</v>
      </c>
      <c r="Z40" s="892"/>
      <c r="AA40" s="147" t="s">
        <v>168</v>
      </c>
    </row>
    <row r="41" spans="1:27" ht="15" customHeight="1" x14ac:dyDescent="0.25">
      <c r="A41" s="50"/>
      <c r="B41" s="89"/>
      <c r="C41" s="561"/>
      <c r="D41" s="874"/>
      <c r="E41" s="875"/>
      <c r="F41" s="562"/>
      <c r="H41" s="50"/>
      <c r="I41" s="684"/>
      <c r="J41" s="684"/>
      <c r="K41" s="561"/>
      <c r="L41" s="89"/>
      <c r="M41" s="864"/>
      <c r="N41" s="865"/>
      <c r="P41" s="50"/>
      <c r="Q41" s="89"/>
      <c r="R41" s="860"/>
      <c r="S41" s="861"/>
      <c r="T41" s="89"/>
      <c r="U41" s="562"/>
      <c r="W41" s="29"/>
      <c r="X41" s="29"/>
      <c r="Y41" s="859" t="str" cm="1">
        <f t="array" ref="Y41">IFERROR(IF(IFERROR(_xlfn.IFNA(LOOKUP(2,1/('Project SqFt'!$A$18:$A$160=W41)/('Project SqFt'!$B$18:$B$160=X41),'Project SqFt'!$F$18:$F$160),LOOKUP(2,1/('Project SqFt'!$H$18:$H$160=W41)/('Project SqFt'!$I$18:$I$160=X41),'Project SqFt'!$M$18:$M$160)),LOOKUP(2,1/('Project SqFt'!$P$18:$P$160=W41)/('Project SqFt'!$Q$18:$Q$160=X41),'Project SqFt'!$U$18:$U$160))="","",IFERROR(_xlfn.IFNA(LOOKUP(2,1/('Project SqFt'!$A$18:$A$160=W41)/('Project SqFt'!$B$18:$B$160=X41),'Project SqFt'!$F$18:$F$160),LOOKUP(2,1/('Project SqFt'!$H$18:$H$160=W41)/('Project SqFt'!$I$18:$I$160=X41),'Project SqFt'!$M$18:$M$160)),LOOKUP(2,1/('Project SqFt'!$P$18:$P$160=W41)/('Project SqFt'!$Q$18:$Q$160=X41),'Project SqFt'!$U$18:$U$160))),"")</f>
        <v/>
      </c>
      <c r="Z41" s="725"/>
      <c r="AA41" s="194" t="str" cm="1">
        <f t="array" ref="AA41">IFERROR(IF(IFERROR(_xlfn.IFNA(LOOKUP(2,1/('Project SqFt'!$A$18:$A$160=W41)/('Project SqFt'!$B$18:$B$160=X41),'Project SqFt'!$D$18:$D$160),LOOKUP(2,1/('Project SqFt'!$H$18:$H$160=W41)/('Project SqFt'!$I$18:$I$160=X41),'Project SqFt'!$L$18:$L$160)),LOOKUP(2,1/('Project SqFt'!$P$18:$P$160=W41)/('Project SqFt'!$Q$18:$Q$160=X41),'Project SqFt'!$T$18:$T$160))="","",IFERROR(_xlfn.IFNA(LOOKUP(2,1/('Project SqFt'!$A$18:$A$160=W41)/('Project SqFt'!$B$18:$B$160=X41),'Project SqFt'!$D$18:$D$160),LOOKUP(2,1/('Project SqFt'!$H$18:$H$160=W41)/('Project SqFt'!$I$18:$I$160=X41),'Project SqFt'!$L$18:$L$160)),LOOKUP(2,1/('Project SqFt'!$P$18:$P$160=W41)/('Project SqFt'!$Q$18:$Q$160=X41),'Project SqFt'!$T$18:$T$160))),"")</f>
        <v/>
      </c>
    </row>
    <row r="42" spans="1:27" ht="15" customHeight="1" x14ac:dyDescent="0.25">
      <c r="A42" s="73"/>
      <c r="B42" s="89"/>
      <c r="C42" s="561"/>
      <c r="D42" s="874"/>
      <c r="E42" s="875"/>
      <c r="F42" s="562"/>
      <c r="H42" s="50"/>
      <c r="I42" s="684"/>
      <c r="J42" s="684"/>
      <c r="K42" s="561"/>
      <c r="L42" s="89"/>
      <c r="M42" s="864"/>
      <c r="N42" s="865"/>
      <c r="P42" s="50"/>
      <c r="Q42" s="89"/>
      <c r="R42" s="860"/>
      <c r="S42" s="861"/>
      <c r="T42" s="89"/>
      <c r="U42" s="562"/>
      <c r="W42" s="29"/>
      <c r="X42" s="29"/>
      <c r="Y42" s="859" t="str" cm="1">
        <f t="array" ref="Y42">IFERROR(IF(IFERROR(_xlfn.IFNA(LOOKUP(2,1/('Project SqFt'!$A$18:$A$160=W42)/('Project SqFt'!$B$18:$B$160=X42),'Project SqFt'!$F$18:$F$160),LOOKUP(2,1/('Project SqFt'!$H$18:$H$160=W42)/('Project SqFt'!$I$18:$I$160=X42),'Project SqFt'!$M$18:$M$160)),LOOKUP(2,1/('Project SqFt'!$P$18:$P$160=W42)/('Project SqFt'!$Q$18:$Q$160=X42),'Project SqFt'!$U$18:$U$160))="","",IFERROR(_xlfn.IFNA(LOOKUP(2,1/('Project SqFt'!$A$18:$A$160=W42)/('Project SqFt'!$B$18:$B$160=X42),'Project SqFt'!$F$18:$F$160),LOOKUP(2,1/('Project SqFt'!$H$18:$H$160=W42)/('Project SqFt'!$I$18:$I$160=X42),'Project SqFt'!$M$18:$M$160)),LOOKUP(2,1/('Project SqFt'!$P$18:$P$160=W42)/('Project SqFt'!$Q$18:$Q$160=X42),'Project SqFt'!$U$18:$U$160))),"")</f>
        <v/>
      </c>
      <c r="Z42" s="725"/>
      <c r="AA42" s="194" t="str" cm="1">
        <f t="array" ref="AA42">IFERROR(IF(IFERROR(_xlfn.IFNA(LOOKUP(2,1/('Project SqFt'!$A$18:$A$160=W42)/('Project SqFt'!$B$18:$B$160=X42),'Project SqFt'!$D$18:$D$160),LOOKUP(2,1/('Project SqFt'!$H$18:$H$160=W42)/('Project SqFt'!$I$18:$I$160=X42),'Project SqFt'!$L$18:$L$160)),LOOKUP(2,1/('Project SqFt'!$P$18:$P$160=W42)/('Project SqFt'!$Q$18:$Q$160=X42),'Project SqFt'!$T$18:$T$160))="","",IFERROR(_xlfn.IFNA(LOOKUP(2,1/('Project SqFt'!$A$18:$A$160=W42)/('Project SqFt'!$B$18:$B$160=X42),'Project SqFt'!$D$18:$D$160),LOOKUP(2,1/('Project SqFt'!$H$18:$H$160=W42)/('Project SqFt'!$I$18:$I$160=X42),'Project SqFt'!$L$18:$L$160)),LOOKUP(2,1/('Project SqFt'!$P$18:$P$160=W42)/('Project SqFt'!$Q$18:$Q$160=X42),'Project SqFt'!$T$18:$T$160))),"")</f>
        <v/>
      </c>
    </row>
    <row r="43" spans="1:27" ht="15" customHeight="1" x14ac:dyDescent="0.25">
      <c r="A43" s="50"/>
      <c r="B43" s="89"/>
      <c r="C43" s="561"/>
      <c r="D43" s="874"/>
      <c r="E43" s="875"/>
      <c r="F43" s="562"/>
      <c r="H43" s="50"/>
      <c r="I43" s="684"/>
      <c r="J43" s="684"/>
      <c r="K43" s="561"/>
      <c r="L43" s="89"/>
      <c r="M43" s="864"/>
      <c r="N43" s="865"/>
      <c r="P43" s="50"/>
      <c r="Q43" s="89"/>
      <c r="R43" s="860"/>
      <c r="S43" s="861"/>
      <c r="T43" s="89"/>
      <c r="U43" s="562"/>
      <c r="W43" s="29"/>
      <c r="X43" s="29"/>
      <c r="Y43" s="859" t="str" cm="1">
        <f t="array" ref="Y43">IFERROR(IF(IFERROR(_xlfn.IFNA(LOOKUP(2,1/('Project SqFt'!$A$18:$A$160=W43)/('Project SqFt'!$B$18:$B$160=X43),'Project SqFt'!$F$18:$F$160),LOOKUP(2,1/('Project SqFt'!$H$18:$H$160=W43)/('Project SqFt'!$I$18:$I$160=X43),'Project SqFt'!$M$18:$M$160)),LOOKUP(2,1/('Project SqFt'!$P$18:$P$160=W43)/('Project SqFt'!$Q$18:$Q$160=X43),'Project SqFt'!$U$18:$U$160))="","",IFERROR(_xlfn.IFNA(LOOKUP(2,1/('Project SqFt'!$A$18:$A$160=W43)/('Project SqFt'!$B$18:$B$160=X43),'Project SqFt'!$F$18:$F$160),LOOKUP(2,1/('Project SqFt'!$H$18:$H$160=W43)/('Project SqFt'!$I$18:$I$160=X43),'Project SqFt'!$M$18:$M$160)),LOOKUP(2,1/('Project SqFt'!$P$18:$P$160=W43)/('Project SqFt'!$Q$18:$Q$160=X43),'Project SqFt'!$U$18:$U$160))),"")</f>
        <v/>
      </c>
      <c r="Z43" s="725"/>
      <c r="AA43" s="194" t="str" cm="1">
        <f t="array" ref="AA43">IFERROR(IF(IFERROR(_xlfn.IFNA(LOOKUP(2,1/('Project SqFt'!$A$18:$A$160=W43)/('Project SqFt'!$B$18:$B$160=X43),'Project SqFt'!$D$18:$D$160),LOOKUP(2,1/('Project SqFt'!$H$18:$H$160=W43)/('Project SqFt'!$I$18:$I$160=X43),'Project SqFt'!$L$18:$L$160)),LOOKUP(2,1/('Project SqFt'!$P$18:$P$160=W43)/('Project SqFt'!$Q$18:$Q$160=X43),'Project SqFt'!$T$18:$T$160))="","",IFERROR(_xlfn.IFNA(LOOKUP(2,1/('Project SqFt'!$A$18:$A$160=W43)/('Project SqFt'!$B$18:$B$160=X43),'Project SqFt'!$D$18:$D$160),LOOKUP(2,1/('Project SqFt'!$H$18:$H$160=W43)/('Project SqFt'!$I$18:$I$160=X43),'Project SqFt'!$L$18:$L$160)),LOOKUP(2,1/('Project SqFt'!$P$18:$P$160=W43)/('Project SqFt'!$Q$18:$Q$160=X43),'Project SqFt'!$T$18:$T$160))),"")</f>
        <v/>
      </c>
    </row>
    <row r="44" spans="1:27" ht="15" customHeight="1" x14ac:dyDescent="0.25">
      <c r="A44" s="73"/>
      <c r="B44" s="89"/>
      <c r="C44" s="561"/>
      <c r="D44" s="874"/>
      <c r="E44" s="875"/>
      <c r="F44" s="562"/>
      <c r="H44" s="50"/>
      <c r="I44" s="684"/>
      <c r="J44" s="684"/>
      <c r="K44" s="561"/>
      <c r="L44" s="89"/>
      <c r="M44" s="864"/>
      <c r="N44" s="865"/>
      <c r="P44" s="50"/>
      <c r="Q44" s="89"/>
      <c r="R44" s="860"/>
      <c r="S44" s="861"/>
      <c r="T44" s="89"/>
      <c r="U44" s="562"/>
      <c r="W44" s="29"/>
      <c r="X44" s="29"/>
      <c r="Y44" s="859" t="str" cm="1">
        <f t="array" ref="Y44">IFERROR(IF(IFERROR(_xlfn.IFNA(LOOKUP(2,1/('Project SqFt'!$A$18:$A$160=W44)/('Project SqFt'!$B$18:$B$160=X44),'Project SqFt'!$F$18:$F$160),LOOKUP(2,1/('Project SqFt'!$H$18:$H$160=W44)/('Project SqFt'!$I$18:$I$160=X44),'Project SqFt'!$M$18:$M$160)),LOOKUP(2,1/('Project SqFt'!$P$18:$P$160=W44)/('Project SqFt'!$Q$18:$Q$160=X44),'Project SqFt'!$U$18:$U$160))="","",IFERROR(_xlfn.IFNA(LOOKUP(2,1/('Project SqFt'!$A$18:$A$160=W44)/('Project SqFt'!$B$18:$B$160=X44),'Project SqFt'!$F$18:$F$160),LOOKUP(2,1/('Project SqFt'!$H$18:$H$160=W44)/('Project SqFt'!$I$18:$I$160=X44),'Project SqFt'!$M$18:$M$160)),LOOKUP(2,1/('Project SqFt'!$P$18:$P$160=W44)/('Project SqFt'!$Q$18:$Q$160=X44),'Project SqFt'!$U$18:$U$160))),"")</f>
        <v/>
      </c>
      <c r="Z44" s="725"/>
      <c r="AA44" s="194" t="str" cm="1">
        <f t="array" ref="AA44">IFERROR(IF(IFERROR(_xlfn.IFNA(LOOKUP(2,1/('Project SqFt'!$A$18:$A$160=W44)/('Project SqFt'!$B$18:$B$160=X44),'Project SqFt'!$D$18:$D$160),LOOKUP(2,1/('Project SqFt'!$H$18:$H$160=W44)/('Project SqFt'!$I$18:$I$160=X44),'Project SqFt'!$L$18:$L$160)),LOOKUP(2,1/('Project SqFt'!$P$18:$P$160=W44)/('Project SqFt'!$Q$18:$Q$160=X44),'Project SqFt'!$T$18:$T$160))="","",IFERROR(_xlfn.IFNA(LOOKUP(2,1/('Project SqFt'!$A$18:$A$160=W44)/('Project SqFt'!$B$18:$B$160=X44),'Project SqFt'!$D$18:$D$160),LOOKUP(2,1/('Project SqFt'!$H$18:$H$160=W44)/('Project SqFt'!$I$18:$I$160=X44),'Project SqFt'!$L$18:$L$160)),LOOKUP(2,1/('Project SqFt'!$P$18:$P$160=W44)/('Project SqFt'!$Q$18:$Q$160=X44),'Project SqFt'!$T$18:$T$160))),"")</f>
        <v/>
      </c>
    </row>
    <row r="45" spans="1:27" ht="15" customHeight="1" x14ac:dyDescent="0.25">
      <c r="A45" s="50"/>
      <c r="B45" s="89"/>
      <c r="C45" s="561"/>
      <c r="D45" s="874"/>
      <c r="E45" s="875"/>
      <c r="F45" s="562"/>
      <c r="H45" s="50"/>
      <c r="I45" s="684"/>
      <c r="J45" s="684"/>
      <c r="K45" s="561"/>
      <c r="L45" s="89"/>
      <c r="M45" s="864"/>
      <c r="N45" s="865"/>
      <c r="P45" s="50"/>
      <c r="Q45" s="89"/>
      <c r="R45" s="860"/>
      <c r="S45" s="861"/>
      <c r="T45" s="89"/>
      <c r="U45" s="562"/>
      <c r="W45" s="29"/>
      <c r="X45" s="29"/>
      <c r="Y45" s="859" t="str" cm="1">
        <f t="array" ref="Y45">IFERROR(IF(IFERROR(_xlfn.IFNA(LOOKUP(2,1/('Project SqFt'!$A$18:$A$160=W45)/('Project SqFt'!$B$18:$B$160=X45),'Project SqFt'!$F$18:$F$160),LOOKUP(2,1/('Project SqFt'!$H$18:$H$160=W45)/('Project SqFt'!$I$18:$I$160=X45),'Project SqFt'!$M$18:$M$160)),LOOKUP(2,1/('Project SqFt'!$P$18:$P$160=W45)/('Project SqFt'!$Q$18:$Q$160=X45),'Project SqFt'!$U$18:$U$160))="","",IFERROR(_xlfn.IFNA(LOOKUP(2,1/('Project SqFt'!$A$18:$A$160=W45)/('Project SqFt'!$B$18:$B$160=X45),'Project SqFt'!$F$18:$F$160),LOOKUP(2,1/('Project SqFt'!$H$18:$H$160=W45)/('Project SqFt'!$I$18:$I$160=X45),'Project SqFt'!$M$18:$M$160)),LOOKUP(2,1/('Project SqFt'!$P$18:$P$160=W45)/('Project SqFt'!$Q$18:$Q$160=X45),'Project SqFt'!$U$18:$U$160))),"")</f>
        <v/>
      </c>
      <c r="Z45" s="725"/>
      <c r="AA45" s="194" t="str" cm="1">
        <f t="array" ref="AA45">IFERROR(IF(IFERROR(_xlfn.IFNA(LOOKUP(2,1/('Project SqFt'!$A$18:$A$160=W45)/('Project SqFt'!$B$18:$B$160=X45),'Project SqFt'!$D$18:$D$160),LOOKUP(2,1/('Project SqFt'!$H$18:$H$160=W45)/('Project SqFt'!$I$18:$I$160=X45),'Project SqFt'!$L$18:$L$160)),LOOKUP(2,1/('Project SqFt'!$P$18:$P$160=W45)/('Project SqFt'!$Q$18:$Q$160=X45),'Project SqFt'!$T$18:$T$160))="","",IFERROR(_xlfn.IFNA(LOOKUP(2,1/('Project SqFt'!$A$18:$A$160=W45)/('Project SqFt'!$B$18:$B$160=X45),'Project SqFt'!$D$18:$D$160),LOOKUP(2,1/('Project SqFt'!$H$18:$H$160=W45)/('Project SqFt'!$I$18:$I$160=X45),'Project SqFt'!$L$18:$L$160)),LOOKUP(2,1/('Project SqFt'!$P$18:$P$160=W45)/('Project SqFt'!$Q$18:$Q$160=X45),'Project SqFt'!$T$18:$T$160))),"")</f>
        <v/>
      </c>
    </row>
    <row r="46" spans="1:27" ht="15" customHeight="1" x14ac:dyDescent="0.25">
      <c r="A46" s="73"/>
      <c r="B46" s="89"/>
      <c r="C46" s="561"/>
      <c r="D46" s="874"/>
      <c r="E46" s="875"/>
      <c r="F46" s="562"/>
      <c r="H46" s="50"/>
      <c r="I46" s="684"/>
      <c r="J46" s="684"/>
      <c r="K46" s="561"/>
      <c r="L46" s="89"/>
      <c r="M46" s="864"/>
      <c r="N46" s="865"/>
      <c r="P46" s="50"/>
      <c r="Q46" s="89"/>
      <c r="R46" s="860"/>
      <c r="S46" s="861"/>
      <c r="T46" s="89"/>
      <c r="U46" s="562"/>
      <c r="W46" s="29"/>
      <c r="X46" s="29"/>
      <c r="Y46" s="859" t="str" cm="1">
        <f t="array" ref="Y46">IFERROR(IF(IFERROR(_xlfn.IFNA(LOOKUP(2,1/('Project SqFt'!$A$18:$A$160=W46)/('Project SqFt'!$B$18:$B$160=X46),'Project SqFt'!$F$18:$F$160),LOOKUP(2,1/('Project SqFt'!$H$18:$H$160=W46)/('Project SqFt'!$I$18:$I$160=X46),'Project SqFt'!$M$18:$M$160)),LOOKUP(2,1/('Project SqFt'!$P$18:$P$160=W46)/('Project SqFt'!$Q$18:$Q$160=X46),'Project SqFt'!$U$18:$U$160))="","",IFERROR(_xlfn.IFNA(LOOKUP(2,1/('Project SqFt'!$A$18:$A$160=W46)/('Project SqFt'!$B$18:$B$160=X46),'Project SqFt'!$F$18:$F$160),LOOKUP(2,1/('Project SqFt'!$H$18:$H$160=W46)/('Project SqFt'!$I$18:$I$160=X46),'Project SqFt'!$M$18:$M$160)),LOOKUP(2,1/('Project SqFt'!$P$18:$P$160=W46)/('Project SqFt'!$Q$18:$Q$160=X46),'Project SqFt'!$U$18:$U$160))),"")</f>
        <v/>
      </c>
      <c r="Z46" s="725"/>
      <c r="AA46" s="194" t="str" cm="1">
        <f t="array" ref="AA46">IFERROR(IF(IFERROR(_xlfn.IFNA(LOOKUP(2,1/('Project SqFt'!$A$18:$A$160=W46)/('Project SqFt'!$B$18:$B$160=X46),'Project SqFt'!$D$18:$D$160),LOOKUP(2,1/('Project SqFt'!$H$18:$H$160=W46)/('Project SqFt'!$I$18:$I$160=X46),'Project SqFt'!$L$18:$L$160)),LOOKUP(2,1/('Project SqFt'!$P$18:$P$160=W46)/('Project SqFt'!$Q$18:$Q$160=X46),'Project SqFt'!$T$18:$T$160))="","",IFERROR(_xlfn.IFNA(LOOKUP(2,1/('Project SqFt'!$A$18:$A$160=W46)/('Project SqFt'!$B$18:$B$160=X46),'Project SqFt'!$D$18:$D$160),LOOKUP(2,1/('Project SqFt'!$H$18:$H$160=W46)/('Project SqFt'!$I$18:$I$160=X46),'Project SqFt'!$L$18:$L$160)),LOOKUP(2,1/('Project SqFt'!$P$18:$P$160=W46)/('Project SqFt'!$Q$18:$Q$160=X46),'Project SqFt'!$T$18:$T$160))),"")</f>
        <v/>
      </c>
    </row>
    <row r="47" spans="1:27" ht="15" customHeight="1" x14ac:dyDescent="0.25">
      <c r="A47" s="50"/>
      <c r="B47" s="89"/>
      <c r="C47" s="561"/>
      <c r="D47" s="874"/>
      <c r="E47" s="875"/>
      <c r="F47" s="562"/>
      <c r="H47" s="50"/>
      <c r="I47" s="684"/>
      <c r="J47" s="684"/>
      <c r="K47" s="561"/>
      <c r="L47" s="89"/>
      <c r="M47" s="864"/>
      <c r="N47" s="865"/>
      <c r="P47" s="50"/>
      <c r="Q47" s="89"/>
      <c r="R47" s="860"/>
      <c r="S47" s="861"/>
      <c r="T47" s="89"/>
      <c r="U47" s="562"/>
      <c r="W47" s="29"/>
      <c r="X47" s="29"/>
      <c r="Y47" s="859" t="str" cm="1">
        <f t="array" ref="Y47">IFERROR(IF(IFERROR(_xlfn.IFNA(LOOKUP(2,1/('Project SqFt'!$A$18:$A$160=W47)/('Project SqFt'!$B$18:$B$160=X47),'Project SqFt'!$F$18:$F$160),LOOKUP(2,1/('Project SqFt'!$H$18:$H$160=W47)/('Project SqFt'!$I$18:$I$160=X47),'Project SqFt'!$M$18:$M$160)),LOOKUP(2,1/('Project SqFt'!$P$18:$P$160=W47)/('Project SqFt'!$Q$18:$Q$160=X47),'Project SqFt'!$U$18:$U$160))="","",IFERROR(_xlfn.IFNA(LOOKUP(2,1/('Project SqFt'!$A$18:$A$160=W47)/('Project SqFt'!$B$18:$B$160=X47),'Project SqFt'!$F$18:$F$160),LOOKUP(2,1/('Project SqFt'!$H$18:$H$160=W47)/('Project SqFt'!$I$18:$I$160=X47),'Project SqFt'!$M$18:$M$160)),LOOKUP(2,1/('Project SqFt'!$P$18:$P$160=W47)/('Project SqFt'!$Q$18:$Q$160=X47),'Project SqFt'!$U$18:$U$160))),"")</f>
        <v/>
      </c>
      <c r="Z47" s="725"/>
      <c r="AA47" s="194" t="str" cm="1">
        <f t="array" ref="AA47">IFERROR(IF(IFERROR(_xlfn.IFNA(LOOKUP(2,1/('Project SqFt'!$A$18:$A$160=W47)/('Project SqFt'!$B$18:$B$160=X47),'Project SqFt'!$D$18:$D$160),LOOKUP(2,1/('Project SqFt'!$H$18:$H$160=W47)/('Project SqFt'!$I$18:$I$160=X47),'Project SqFt'!$L$18:$L$160)),LOOKUP(2,1/('Project SqFt'!$P$18:$P$160=W47)/('Project SqFt'!$Q$18:$Q$160=X47),'Project SqFt'!$T$18:$T$160))="","",IFERROR(_xlfn.IFNA(LOOKUP(2,1/('Project SqFt'!$A$18:$A$160=W47)/('Project SqFt'!$B$18:$B$160=X47),'Project SqFt'!$D$18:$D$160),LOOKUP(2,1/('Project SqFt'!$H$18:$H$160=W47)/('Project SqFt'!$I$18:$I$160=X47),'Project SqFt'!$L$18:$L$160)),LOOKUP(2,1/('Project SqFt'!$P$18:$P$160=W47)/('Project SqFt'!$Q$18:$Q$160=X47),'Project SqFt'!$T$18:$T$160))),"")</f>
        <v/>
      </c>
    </row>
    <row r="48" spans="1:27" ht="15" customHeight="1" x14ac:dyDescent="0.25">
      <c r="A48" s="73"/>
      <c r="B48" s="89"/>
      <c r="C48" s="561"/>
      <c r="D48" s="874"/>
      <c r="E48" s="875"/>
      <c r="F48" s="562"/>
      <c r="H48" s="50"/>
      <c r="I48" s="684"/>
      <c r="J48" s="684"/>
      <c r="K48" s="561"/>
      <c r="L48" s="89"/>
      <c r="M48" s="864"/>
      <c r="N48" s="865"/>
      <c r="P48" s="50"/>
      <c r="Q48" s="89"/>
      <c r="R48" s="860"/>
      <c r="S48" s="861"/>
      <c r="T48" s="89"/>
      <c r="U48" s="562"/>
      <c r="W48" s="29"/>
      <c r="X48" s="29"/>
      <c r="Y48" s="859" t="str" cm="1">
        <f t="array" ref="Y48">IFERROR(IF(IFERROR(_xlfn.IFNA(LOOKUP(2,1/('Project SqFt'!$A$18:$A$160=W48)/('Project SqFt'!$B$18:$B$160=X48),'Project SqFt'!$F$18:$F$160),LOOKUP(2,1/('Project SqFt'!$H$18:$H$160=W48)/('Project SqFt'!$I$18:$I$160=X48),'Project SqFt'!$M$18:$M$160)),LOOKUP(2,1/('Project SqFt'!$P$18:$P$160=W48)/('Project SqFt'!$Q$18:$Q$160=X48),'Project SqFt'!$U$18:$U$160))="","",IFERROR(_xlfn.IFNA(LOOKUP(2,1/('Project SqFt'!$A$18:$A$160=W48)/('Project SqFt'!$B$18:$B$160=X48),'Project SqFt'!$F$18:$F$160),LOOKUP(2,1/('Project SqFt'!$H$18:$H$160=W48)/('Project SqFt'!$I$18:$I$160=X48),'Project SqFt'!$M$18:$M$160)),LOOKUP(2,1/('Project SqFt'!$P$18:$P$160=W48)/('Project SqFt'!$Q$18:$Q$160=X48),'Project SqFt'!$U$18:$U$160))),"")</f>
        <v/>
      </c>
      <c r="Z48" s="725"/>
      <c r="AA48" s="194" t="str" cm="1">
        <f t="array" ref="AA48">IFERROR(IF(IFERROR(_xlfn.IFNA(LOOKUP(2,1/('Project SqFt'!$A$18:$A$160=W48)/('Project SqFt'!$B$18:$B$160=X48),'Project SqFt'!$D$18:$D$160),LOOKUP(2,1/('Project SqFt'!$H$18:$H$160=W48)/('Project SqFt'!$I$18:$I$160=X48),'Project SqFt'!$L$18:$L$160)),LOOKUP(2,1/('Project SqFt'!$P$18:$P$160=W48)/('Project SqFt'!$Q$18:$Q$160=X48),'Project SqFt'!$T$18:$T$160))="","",IFERROR(_xlfn.IFNA(LOOKUP(2,1/('Project SqFt'!$A$18:$A$160=W48)/('Project SqFt'!$B$18:$B$160=X48),'Project SqFt'!$D$18:$D$160),LOOKUP(2,1/('Project SqFt'!$H$18:$H$160=W48)/('Project SqFt'!$I$18:$I$160=X48),'Project SqFt'!$L$18:$L$160)),LOOKUP(2,1/('Project SqFt'!$P$18:$P$160=W48)/('Project SqFt'!$Q$18:$Q$160=X48),'Project SqFt'!$T$18:$T$160))),"")</f>
        <v/>
      </c>
    </row>
    <row r="49" spans="1:27" ht="15" customHeight="1" x14ac:dyDescent="0.25">
      <c r="A49" s="50"/>
      <c r="B49" s="89"/>
      <c r="C49" s="561"/>
      <c r="D49" s="874"/>
      <c r="E49" s="875"/>
      <c r="F49" s="562"/>
      <c r="H49" s="50"/>
      <c r="I49" s="684"/>
      <c r="J49" s="684"/>
      <c r="K49" s="561"/>
      <c r="L49" s="89"/>
      <c r="M49" s="864"/>
      <c r="N49" s="865"/>
      <c r="P49" s="50"/>
      <c r="Q49" s="89"/>
      <c r="R49" s="860"/>
      <c r="S49" s="861"/>
      <c r="T49" s="89"/>
      <c r="U49" s="562"/>
      <c r="W49" s="29"/>
      <c r="X49" s="29"/>
      <c r="Y49" s="859" t="str" cm="1">
        <f t="array" ref="Y49">IFERROR(IF(IFERROR(_xlfn.IFNA(LOOKUP(2,1/('Project SqFt'!$A$18:$A$160=W49)/('Project SqFt'!$B$18:$B$160=X49),'Project SqFt'!$F$18:$F$160),LOOKUP(2,1/('Project SqFt'!$H$18:$H$160=W49)/('Project SqFt'!$I$18:$I$160=X49),'Project SqFt'!$M$18:$M$160)),LOOKUP(2,1/('Project SqFt'!$P$18:$P$160=W49)/('Project SqFt'!$Q$18:$Q$160=X49),'Project SqFt'!$U$18:$U$160))="","",IFERROR(_xlfn.IFNA(LOOKUP(2,1/('Project SqFt'!$A$18:$A$160=W49)/('Project SqFt'!$B$18:$B$160=X49),'Project SqFt'!$F$18:$F$160),LOOKUP(2,1/('Project SqFt'!$H$18:$H$160=W49)/('Project SqFt'!$I$18:$I$160=X49),'Project SqFt'!$M$18:$M$160)),LOOKUP(2,1/('Project SqFt'!$P$18:$P$160=W49)/('Project SqFt'!$Q$18:$Q$160=X49),'Project SqFt'!$U$18:$U$160))),"")</f>
        <v/>
      </c>
      <c r="Z49" s="725"/>
      <c r="AA49" s="194" t="str" cm="1">
        <f t="array" ref="AA49">IFERROR(IF(IFERROR(_xlfn.IFNA(LOOKUP(2,1/('Project SqFt'!$A$18:$A$160=W49)/('Project SqFt'!$B$18:$B$160=X49),'Project SqFt'!$D$18:$D$160),LOOKUP(2,1/('Project SqFt'!$H$18:$H$160=W49)/('Project SqFt'!$I$18:$I$160=X49),'Project SqFt'!$L$18:$L$160)),LOOKUP(2,1/('Project SqFt'!$P$18:$P$160=W49)/('Project SqFt'!$Q$18:$Q$160=X49),'Project SqFt'!$T$18:$T$160))="","",IFERROR(_xlfn.IFNA(LOOKUP(2,1/('Project SqFt'!$A$18:$A$160=W49)/('Project SqFt'!$B$18:$B$160=X49),'Project SqFt'!$D$18:$D$160),LOOKUP(2,1/('Project SqFt'!$H$18:$H$160=W49)/('Project SqFt'!$I$18:$I$160=X49),'Project SqFt'!$L$18:$L$160)),LOOKUP(2,1/('Project SqFt'!$P$18:$P$160=W49)/('Project SqFt'!$Q$18:$Q$160=X49),'Project SqFt'!$T$18:$T$160))),"")</f>
        <v/>
      </c>
    </row>
    <row r="50" spans="1:27" ht="15" customHeight="1" x14ac:dyDescent="0.25">
      <c r="A50" s="73"/>
      <c r="B50" s="89"/>
      <c r="C50" s="561"/>
      <c r="D50" s="874"/>
      <c r="E50" s="875"/>
      <c r="F50" s="562"/>
      <c r="H50" s="50"/>
      <c r="I50" s="684"/>
      <c r="J50" s="684"/>
      <c r="K50" s="561"/>
      <c r="L50" s="89"/>
      <c r="M50" s="864"/>
      <c r="N50" s="865"/>
      <c r="P50" s="50"/>
      <c r="Q50" s="89"/>
      <c r="R50" s="860"/>
      <c r="S50" s="861"/>
      <c r="T50" s="89"/>
      <c r="U50" s="562"/>
      <c r="W50" s="29"/>
      <c r="X50" s="29"/>
      <c r="Y50" s="859" t="str" cm="1">
        <f t="array" ref="Y50">IFERROR(IF(IFERROR(_xlfn.IFNA(LOOKUP(2,1/('Project SqFt'!$A$18:$A$160=W50)/('Project SqFt'!$B$18:$B$160=X50),'Project SqFt'!$F$18:$F$160),LOOKUP(2,1/('Project SqFt'!$H$18:$H$160=W50)/('Project SqFt'!$I$18:$I$160=X50),'Project SqFt'!$M$18:$M$160)),LOOKUP(2,1/('Project SqFt'!$P$18:$P$160=W50)/('Project SqFt'!$Q$18:$Q$160=X50),'Project SqFt'!$U$18:$U$160))="","",IFERROR(_xlfn.IFNA(LOOKUP(2,1/('Project SqFt'!$A$18:$A$160=W50)/('Project SqFt'!$B$18:$B$160=X50),'Project SqFt'!$F$18:$F$160),LOOKUP(2,1/('Project SqFt'!$H$18:$H$160=W50)/('Project SqFt'!$I$18:$I$160=X50),'Project SqFt'!$M$18:$M$160)),LOOKUP(2,1/('Project SqFt'!$P$18:$P$160=W50)/('Project SqFt'!$Q$18:$Q$160=X50),'Project SqFt'!$U$18:$U$160))),"")</f>
        <v/>
      </c>
      <c r="Z50" s="725"/>
      <c r="AA50" s="194" t="str" cm="1">
        <f t="array" ref="AA50">IFERROR(IF(IFERROR(_xlfn.IFNA(LOOKUP(2,1/('Project SqFt'!$A$18:$A$160=W50)/('Project SqFt'!$B$18:$B$160=X50),'Project SqFt'!$D$18:$D$160),LOOKUP(2,1/('Project SqFt'!$H$18:$H$160=W50)/('Project SqFt'!$I$18:$I$160=X50),'Project SqFt'!$L$18:$L$160)),LOOKUP(2,1/('Project SqFt'!$P$18:$P$160=W50)/('Project SqFt'!$Q$18:$Q$160=X50),'Project SqFt'!$T$18:$T$160))="","",IFERROR(_xlfn.IFNA(LOOKUP(2,1/('Project SqFt'!$A$18:$A$160=W50)/('Project SqFt'!$B$18:$B$160=X50),'Project SqFt'!$D$18:$D$160),LOOKUP(2,1/('Project SqFt'!$H$18:$H$160=W50)/('Project SqFt'!$I$18:$I$160=X50),'Project SqFt'!$L$18:$L$160)),LOOKUP(2,1/('Project SqFt'!$P$18:$P$160=W50)/('Project SqFt'!$Q$18:$Q$160=X50),'Project SqFt'!$T$18:$T$160))),"")</f>
        <v/>
      </c>
    </row>
    <row r="51" spans="1:27" ht="15" customHeight="1" x14ac:dyDescent="0.25">
      <c r="A51" s="50"/>
      <c r="B51" s="89"/>
      <c r="C51" s="561"/>
      <c r="D51" s="874"/>
      <c r="E51" s="875"/>
      <c r="F51" s="562"/>
      <c r="H51" s="50"/>
      <c r="I51" s="684"/>
      <c r="J51" s="684"/>
      <c r="K51" s="561"/>
      <c r="L51" s="89"/>
      <c r="M51" s="864"/>
      <c r="N51" s="865"/>
      <c r="P51" s="50"/>
      <c r="Q51" s="89"/>
      <c r="R51" s="860"/>
      <c r="S51" s="861"/>
      <c r="T51" s="89"/>
      <c r="U51" s="562"/>
      <c r="W51" s="29"/>
      <c r="X51" s="29"/>
      <c r="Y51" s="859" t="str" cm="1">
        <f t="array" ref="Y51">IFERROR(IF(IFERROR(_xlfn.IFNA(LOOKUP(2,1/('Project SqFt'!$A$18:$A$160=W51)/('Project SqFt'!$B$18:$B$160=X51),'Project SqFt'!$F$18:$F$160),LOOKUP(2,1/('Project SqFt'!$H$18:$H$160=W51)/('Project SqFt'!$I$18:$I$160=X51),'Project SqFt'!$M$18:$M$160)),LOOKUP(2,1/('Project SqFt'!$P$18:$P$160=W51)/('Project SqFt'!$Q$18:$Q$160=X51),'Project SqFt'!$U$18:$U$160))="","",IFERROR(_xlfn.IFNA(LOOKUP(2,1/('Project SqFt'!$A$18:$A$160=W51)/('Project SqFt'!$B$18:$B$160=X51),'Project SqFt'!$F$18:$F$160),LOOKUP(2,1/('Project SqFt'!$H$18:$H$160=W51)/('Project SqFt'!$I$18:$I$160=X51),'Project SqFt'!$M$18:$M$160)),LOOKUP(2,1/('Project SqFt'!$P$18:$P$160=W51)/('Project SqFt'!$Q$18:$Q$160=X51),'Project SqFt'!$U$18:$U$160))),"")</f>
        <v/>
      </c>
      <c r="Z51" s="725"/>
      <c r="AA51" s="194" t="str" cm="1">
        <f t="array" ref="AA51">IFERROR(IF(IFERROR(_xlfn.IFNA(LOOKUP(2,1/('Project SqFt'!$A$18:$A$160=W51)/('Project SqFt'!$B$18:$B$160=X51),'Project SqFt'!$D$18:$D$160),LOOKUP(2,1/('Project SqFt'!$H$18:$H$160=W51)/('Project SqFt'!$I$18:$I$160=X51),'Project SqFt'!$L$18:$L$160)),LOOKUP(2,1/('Project SqFt'!$P$18:$P$160=W51)/('Project SqFt'!$Q$18:$Q$160=X51),'Project SqFt'!$T$18:$T$160))="","",IFERROR(_xlfn.IFNA(LOOKUP(2,1/('Project SqFt'!$A$18:$A$160=W51)/('Project SqFt'!$B$18:$B$160=X51),'Project SqFt'!$D$18:$D$160),LOOKUP(2,1/('Project SqFt'!$H$18:$H$160=W51)/('Project SqFt'!$I$18:$I$160=X51),'Project SqFt'!$L$18:$L$160)),LOOKUP(2,1/('Project SqFt'!$P$18:$P$160=W51)/('Project SqFt'!$Q$18:$Q$160=X51),'Project SqFt'!$T$18:$T$160))),"")</f>
        <v/>
      </c>
    </row>
    <row r="52" spans="1:27" ht="15" customHeight="1" x14ac:dyDescent="0.25">
      <c r="A52" s="73"/>
      <c r="B52" s="89"/>
      <c r="C52" s="561"/>
      <c r="D52" s="874"/>
      <c r="E52" s="875"/>
      <c r="F52" s="562"/>
      <c r="H52" s="50"/>
      <c r="I52" s="684"/>
      <c r="J52" s="684"/>
      <c r="K52" s="561"/>
      <c r="L52" s="89"/>
      <c r="M52" s="864"/>
      <c r="N52" s="865"/>
      <c r="P52" s="50"/>
      <c r="Q52" s="89"/>
      <c r="R52" s="860"/>
      <c r="S52" s="861"/>
      <c r="T52" s="89"/>
      <c r="U52" s="562"/>
      <c r="W52" s="29"/>
      <c r="X52" s="29"/>
      <c r="Y52" s="859" t="str" cm="1">
        <f t="array" ref="Y52">IFERROR(IF(IFERROR(_xlfn.IFNA(LOOKUP(2,1/('Project SqFt'!$A$18:$A$160=W52)/('Project SqFt'!$B$18:$B$160=X52),'Project SqFt'!$F$18:$F$160),LOOKUP(2,1/('Project SqFt'!$H$18:$H$160=W52)/('Project SqFt'!$I$18:$I$160=X52),'Project SqFt'!$M$18:$M$160)),LOOKUP(2,1/('Project SqFt'!$P$18:$P$160=W52)/('Project SqFt'!$Q$18:$Q$160=X52),'Project SqFt'!$U$18:$U$160))="","",IFERROR(_xlfn.IFNA(LOOKUP(2,1/('Project SqFt'!$A$18:$A$160=W52)/('Project SqFt'!$B$18:$B$160=X52),'Project SqFt'!$F$18:$F$160),LOOKUP(2,1/('Project SqFt'!$H$18:$H$160=W52)/('Project SqFt'!$I$18:$I$160=X52),'Project SqFt'!$M$18:$M$160)),LOOKUP(2,1/('Project SqFt'!$P$18:$P$160=W52)/('Project SqFt'!$Q$18:$Q$160=X52),'Project SqFt'!$U$18:$U$160))),"")</f>
        <v/>
      </c>
      <c r="Z52" s="725"/>
      <c r="AA52" s="194" t="str" cm="1">
        <f t="array" ref="AA52">IFERROR(IF(IFERROR(_xlfn.IFNA(LOOKUP(2,1/('Project SqFt'!$A$18:$A$160=W52)/('Project SqFt'!$B$18:$B$160=X52),'Project SqFt'!$D$18:$D$160),LOOKUP(2,1/('Project SqFt'!$H$18:$H$160=W52)/('Project SqFt'!$I$18:$I$160=X52),'Project SqFt'!$L$18:$L$160)),LOOKUP(2,1/('Project SqFt'!$P$18:$P$160=W52)/('Project SqFt'!$Q$18:$Q$160=X52),'Project SqFt'!$T$18:$T$160))="","",IFERROR(_xlfn.IFNA(LOOKUP(2,1/('Project SqFt'!$A$18:$A$160=W52)/('Project SqFt'!$B$18:$B$160=X52),'Project SqFt'!$D$18:$D$160),LOOKUP(2,1/('Project SqFt'!$H$18:$H$160=W52)/('Project SqFt'!$I$18:$I$160=X52),'Project SqFt'!$L$18:$L$160)),LOOKUP(2,1/('Project SqFt'!$P$18:$P$160=W52)/('Project SqFt'!$Q$18:$Q$160=X52),'Project SqFt'!$T$18:$T$160))),"")</f>
        <v/>
      </c>
    </row>
    <row r="53" spans="1:27" ht="15" customHeight="1" x14ac:dyDescent="0.25">
      <c r="A53" s="50"/>
      <c r="B53" s="89"/>
      <c r="C53" s="561"/>
      <c r="D53" s="874"/>
      <c r="E53" s="875"/>
      <c r="F53" s="562"/>
      <c r="H53" s="50"/>
      <c r="I53" s="684"/>
      <c r="J53" s="684"/>
      <c r="K53" s="561"/>
      <c r="L53" s="89"/>
      <c r="M53" s="864"/>
      <c r="N53" s="865"/>
      <c r="P53" s="50"/>
      <c r="Q53" s="89"/>
      <c r="R53" s="860"/>
      <c r="S53" s="861"/>
      <c r="T53" s="89"/>
      <c r="U53" s="562"/>
      <c r="W53" s="29"/>
      <c r="X53" s="29"/>
      <c r="Y53" s="859" t="str" cm="1">
        <f t="array" ref="Y53">IFERROR(IF(IFERROR(_xlfn.IFNA(LOOKUP(2,1/('Project SqFt'!$A$18:$A$160=W53)/('Project SqFt'!$B$18:$B$160=X53),'Project SqFt'!$F$18:$F$160),LOOKUP(2,1/('Project SqFt'!$H$18:$H$160=W53)/('Project SqFt'!$I$18:$I$160=X53),'Project SqFt'!$M$18:$M$160)),LOOKUP(2,1/('Project SqFt'!$P$18:$P$160=W53)/('Project SqFt'!$Q$18:$Q$160=X53),'Project SqFt'!$U$18:$U$160))="","",IFERROR(_xlfn.IFNA(LOOKUP(2,1/('Project SqFt'!$A$18:$A$160=W53)/('Project SqFt'!$B$18:$B$160=X53),'Project SqFt'!$F$18:$F$160),LOOKUP(2,1/('Project SqFt'!$H$18:$H$160=W53)/('Project SqFt'!$I$18:$I$160=X53),'Project SqFt'!$M$18:$M$160)),LOOKUP(2,1/('Project SqFt'!$P$18:$P$160=W53)/('Project SqFt'!$Q$18:$Q$160=X53),'Project SqFt'!$U$18:$U$160))),"")</f>
        <v/>
      </c>
      <c r="Z53" s="725"/>
      <c r="AA53" s="194" t="str" cm="1">
        <f t="array" ref="AA53">IFERROR(IF(IFERROR(_xlfn.IFNA(LOOKUP(2,1/('Project SqFt'!$A$18:$A$160=W53)/('Project SqFt'!$B$18:$B$160=X53),'Project SqFt'!$D$18:$D$160),LOOKUP(2,1/('Project SqFt'!$H$18:$H$160=W53)/('Project SqFt'!$I$18:$I$160=X53),'Project SqFt'!$L$18:$L$160)),LOOKUP(2,1/('Project SqFt'!$P$18:$P$160=W53)/('Project SqFt'!$Q$18:$Q$160=X53),'Project SqFt'!$T$18:$T$160))="","",IFERROR(_xlfn.IFNA(LOOKUP(2,1/('Project SqFt'!$A$18:$A$160=W53)/('Project SqFt'!$B$18:$B$160=X53),'Project SqFt'!$D$18:$D$160),LOOKUP(2,1/('Project SqFt'!$H$18:$H$160=W53)/('Project SqFt'!$I$18:$I$160=X53),'Project SqFt'!$L$18:$L$160)),LOOKUP(2,1/('Project SqFt'!$P$18:$P$160=W53)/('Project SqFt'!$Q$18:$Q$160=X53),'Project SqFt'!$T$18:$T$160))),"")</f>
        <v/>
      </c>
    </row>
    <row r="54" spans="1:27" ht="15" customHeight="1" x14ac:dyDescent="0.25">
      <c r="A54" s="73"/>
      <c r="B54" s="89"/>
      <c r="C54" s="561"/>
      <c r="D54" s="874"/>
      <c r="E54" s="875"/>
      <c r="F54" s="562"/>
      <c r="H54" s="50"/>
      <c r="I54" s="684"/>
      <c r="J54" s="684"/>
      <c r="K54" s="561"/>
      <c r="L54" s="89"/>
      <c r="M54" s="864"/>
      <c r="N54" s="865"/>
      <c r="P54" s="50"/>
      <c r="Q54" s="89"/>
      <c r="R54" s="860"/>
      <c r="S54" s="861"/>
      <c r="T54" s="89"/>
      <c r="U54" s="562"/>
      <c r="W54" s="29"/>
      <c r="X54" s="29"/>
      <c r="Y54" s="859" t="str" cm="1">
        <f t="array" ref="Y54">IFERROR(IF(IFERROR(_xlfn.IFNA(LOOKUP(2,1/('Project SqFt'!$A$18:$A$160=W54)/('Project SqFt'!$B$18:$B$160=X54),'Project SqFt'!$F$18:$F$160),LOOKUP(2,1/('Project SqFt'!$H$18:$H$160=W54)/('Project SqFt'!$I$18:$I$160=X54),'Project SqFt'!$M$18:$M$160)),LOOKUP(2,1/('Project SqFt'!$P$18:$P$160=W54)/('Project SqFt'!$Q$18:$Q$160=X54),'Project SqFt'!$U$18:$U$160))="","",IFERROR(_xlfn.IFNA(LOOKUP(2,1/('Project SqFt'!$A$18:$A$160=W54)/('Project SqFt'!$B$18:$B$160=X54),'Project SqFt'!$F$18:$F$160),LOOKUP(2,1/('Project SqFt'!$H$18:$H$160=W54)/('Project SqFt'!$I$18:$I$160=X54),'Project SqFt'!$M$18:$M$160)),LOOKUP(2,1/('Project SqFt'!$P$18:$P$160=W54)/('Project SqFt'!$Q$18:$Q$160=X54),'Project SqFt'!$U$18:$U$160))),"")</f>
        <v/>
      </c>
      <c r="Z54" s="725"/>
      <c r="AA54" s="194" t="str" cm="1">
        <f t="array" ref="AA54">IFERROR(IF(IFERROR(_xlfn.IFNA(LOOKUP(2,1/('Project SqFt'!$A$18:$A$160=W54)/('Project SqFt'!$B$18:$B$160=X54),'Project SqFt'!$D$18:$D$160),LOOKUP(2,1/('Project SqFt'!$H$18:$H$160=W54)/('Project SqFt'!$I$18:$I$160=X54),'Project SqFt'!$L$18:$L$160)),LOOKUP(2,1/('Project SqFt'!$P$18:$P$160=W54)/('Project SqFt'!$Q$18:$Q$160=X54),'Project SqFt'!$T$18:$T$160))="","",IFERROR(_xlfn.IFNA(LOOKUP(2,1/('Project SqFt'!$A$18:$A$160=W54)/('Project SqFt'!$B$18:$B$160=X54),'Project SqFt'!$D$18:$D$160),LOOKUP(2,1/('Project SqFt'!$H$18:$H$160=W54)/('Project SqFt'!$I$18:$I$160=X54),'Project SqFt'!$L$18:$L$160)),LOOKUP(2,1/('Project SqFt'!$P$18:$P$160=W54)/('Project SqFt'!$Q$18:$Q$160=X54),'Project SqFt'!$T$18:$T$160))),"")</f>
        <v/>
      </c>
    </row>
    <row r="55" spans="1:27" ht="15" customHeight="1" x14ac:dyDescent="0.25">
      <c r="A55" s="50"/>
      <c r="B55" s="89"/>
      <c r="C55" s="561"/>
      <c r="D55" s="874"/>
      <c r="E55" s="875"/>
      <c r="F55" s="562"/>
      <c r="H55" s="50"/>
      <c r="I55" s="684"/>
      <c r="J55" s="684"/>
      <c r="K55" s="561"/>
      <c r="L55" s="89"/>
      <c r="M55" s="864"/>
      <c r="N55" s="865"/>
      <c r="P55" s="50"/>
      <c r="Q55" s="89"/>
      <c r="R55" s="860"/>
      <c r="S55" s="861"/>
      <c r="T55" s="89"/>
      <c r="U55" s="562"/>
      <c r="W55" s="29"/>
      <c r="X55" s="29"/>
      <c r="Y55" s="859" t="str" cm="1">
        <f t="array" ref="Y55">IFERROR(IF(IFERROR(_xlfn.IFNA(LOOKUP(2,1/('Project SqFt'!$A$18:$A$160=W55)/('Project SqFt'!$B$18:$B$160=X55),'Project SqFt'!$F$18:$F$160),LOOKUP(2,1/('Project SqFt'!$H$18:$H$160=W55)/('Project SqFt'!$I$18:$I$160=X55),'Project SqFt'!$M$18:$M$160)),LOOKUP(2,1/('Project SqFt'!$P$18:$P$160=W55)/('Project SqFt'!$Q$18:$Q$160=X55),'Project SqFt'!$U$18:$U$160))="","",IFERROR(_xlfn.IFNA(LOOKUP(2,1/('Project SqFt'!$A$18:$A$160=W55)/('Project SqFt'!$B$18:$B$160=X55),'Project SqFt'!$F$18:$F$160),LOOKUP(2,1/('Project SqFt'!$H$18:$H$160=W55)/('Project SqFt'!$I$18:$I$160=X55),'Project SqFt'!$M$18:$M$160)),LOOKUP(2,1/('Project SqFt'!$P$18:$P$160=W55)/('Project SqFt'!$Q$18:$Q$160=X55),'Project SqFt'!$U$18:$U$160))),"")</f>
        <v/>
      </c>
      <c r="Z55" s="725"/>
      <c r="AA55" s="194" t="str" cm="1">
        <f t="array" ref="AA55">IFERROR(IF(IFERROR(_xlfn.IFNA(LOOKUP(2,1/('Project SqFt'!$A$18:$A$160=W55)/('Project SqFt'!$B$18:$B$160=X55),'Project SqFt'!$D$18:$D$160),LOOKUP(2,1/('Project SqFt'!$H$18:$H$160=W55)/('Project SqFt'!$I$18:$I$160=X55),'Project SqFt'!$L$18:$L$160)),LOOKUP(2,1/('Project SqFt'!$P$18:$P$160=W55)/('Project SqFt'!$Q$18:$Q$160=X55),'Project SqFt'!$T$18:$T$160))="","",IFERROR(_xlfn.IFNA(LOOKUP(2,1/('Project SqFt'!$A$18:$A$160=W55)/('Project SqFt'!$B$18:$B$160=X55),'Project SqFt'!$D$18:$D$160),LOOKUP(2,1/('Project SqFt'!$H$18:$H$160=W55)/('Project SqFt'!$I$18:$I$160=X55),'Project SqFt'!$L$18:$L$160)),LOOKUP(2,1/('Project SqFt'!$P$18:$P$160=W55)/('Project SqFt'!$Q$18:$Q$160=X55),'Project SqFt'!$T$18:$T$160))),"")</f>
        <v/>
      </c>
    </row>
    <row r="56" spans="1:27" ht="15" customHeight="1" x14ac:dyDescent="0.25">
      <c r="A56" s="73"/>
      <c r="B56" s="89"/>
      <c r="C56" s="561"/>
      <c r="D56" s="874"/>
      <c r="E56" s="875"/>
      <c r="F56" s="562"/>
      <c r="H56" s="50"/>
      <c r="I56" s="684"/>
      <c r="J56" s="684"/>
      <c r="K56" s="561"/>
      <c r="L56" s="89"/>
      <c r="M56" s="864"/>
      <c r="N56" s="865"/>
      <c r="P56" s="50"/>
      <c r="Q56" s="89"/>
      <c r="R56" s="860"/>
      <c r="S56" s="861"/>
      <c r="T56" s="89"/>
      <c r="U56" s="562"/>
      <c r="W56" s="29"/>
      <c r="X56" s="29"/>
      <c r="Y56" s="859" t="str" cm="1">
        <f t="array" ref="Y56">IFERROR(IF(IFERROR(_xlfn.IFNA(LOOKUP(2,1/('Project SqFt'!$A$18:$A$160=W56)/('Project SqFt'!$B$18:$B$160=X56),'Project SqFt'!$F$18:$F$160),LOOKUP(2,1/('Project SqFt'!$H$18:$H$160=W56)/('Project SqFt'!$I$18:$I$160=X56),'Project SqFt'!$M$18:$M$160)),LOOKUP(2,1/('Project SqFt'!$P$18:$P$160=W56)/('Project SqFt'!$Q$18:$Q$160=X56),'Project SqFt'!$U$18:$U$160))="","",IFERROR(_xlfn.IFNA(LOOKUP(2,1/('Project SqFt'!$A$18:$A$160=W56)/('Project SqFt'!$B$18:$B$160=X56),'Project SqFt'!$F$18:$F$160),LOOKUP(2,1/('Project SqFt'!$H$18:$H$160=W56)/('Project SqFt'!$I$18:$I$160=X56),'Project SqFt'!$M$18:$M$160)),LOOKUP(2,1/('Project SqFt'!$P$18:$P$160=W56)/('Project SqFt'!$Q$18:$Q$160=X56),'Project SqFt'!$U$18:$U$160))),"")</f>
        <v/>
      </c>
      <c r="Z56" s="725"/>
      <c r="AA56" s="194" t="str" cm="1">
        <f t="array" ref="AA56">IFERROR(IF(IFERROR(_xlfn.IFNA(LOOKUP(2,1/('Project SqFt'!$A$18:$A$160=W56)/('Project SqFt'!$B$18:$B$160=X56),'Project SqFt'!$D$18:$D$160),LOOKUP(2,1/('Project SqFt'!$H$18:$H$160=W56)/('Project SqFt'!$I$18:$I$160=X56),'Project SqFt'!$L$18:$L$160)),LOOKUP(2,1/('Project SqFt'!$P$18:$P$160=W56)/('Project SqFt'!$Q$18:$Q$160=X56),'Project SqFt'!$T$18:$T$160))="","",IFERROR(_xlfn.IFNA(LOOKUP(2,1/('Project SqFt'!$A$18:$A$160=W56)/('Project SqFt'!$B$18:$B$160=X56),'Project SqFt'!$D$18:$D$160),LOOKUP(2,1/('Project SqFt'!$H$18:$H$160=W56)/('Project SqFt'!$I$18:$I$160=X56),'Project SqFt'!$L$18:$L$160)),LOOKUP(2,1/('Project SqFt'!$P$18:$P$160=W56)/('Project SqFt'!$Q$18:$Q$160=X56),'Project SqFt'!$T$18:$T$160))),"")</f>
        <v/>
      </c>
    </row>
    <row r="57" spans="1:27" ht="15" customHeight="1" x14ac:dyDescent="0.25">
      <c r="A57" s="50"/>
      <c r="B57" s="89"/>
      <c r="C57" s="561"/>
      <c r="D57" s="874"/>
      <c r="E57" s="875"/>
      <c r="F57" s="562"/>
      <c r="H57" s="50"/>
      <c r="I57" s="684"/>
      <c r="J57" s="684"/>
      <c r="K57" s="561"/>
      <c r="L57" s="89"/>
      <c r="M57" s="864"/>
      <c r="N57" s="865"/>
      <c r="P57" s="50"/>
      <c r="Q57" s="89"/>
      <c r="R57" s="860"/>
      <c r="S57" s="861"/>
      <c r="T57" s="89"/>
      <c r="U57" s="562"/>
      <c r="W57" s="29"/>
      <c r="X57" s="29"/>
      <c r="Y57" s="859" t="str" cm="1">
        <f t="array" ref="Y57">IFERROR(IF(IFERROR(_xlfn.IFNA(LOOKUP(2,1/('Project SqFt'!$A$18:$A$160=W57)/('Project SqFt'!$B$18:$B$160=X57),'Project SqFt'!$F$18:$F$160),LOOKUP(2,1/('Project SqFt'!$H$18:$H$160=W57)/('Project SqFt'!$I$18:$I$160=X57),'Project SqFt'!$M$18:$M$160)),LOOKUP(2,1/('Project SqFt'!$P$18:$P$160=W57)/('Project SqFt'!$Q$18:$Q$160=X57),'Project SqFt'!$U$18:$U$160))="","",IFERROR(_xlfn.IFNA(LOOKUP(2,1/('Project SqFt'!$A$18:$A$160=W57)/('Project SqFt'!$B$18:$B$160=X57),'Project SqFt'!$F$18:$F$160),LOOKUP(2,1/('Project SqFt'!$H$18:$H$160=W57)/('Project SqFt'!$I$18:$I$160=X57),'Project SqFt'!$M$18:$M$160)),LOOKUP(2,1/('Project SqFt'!$P$18:$P$160=W57)/('Project SqFt'!$Q$18:$Q$160=X57),'Project SqFt'!$U$18:$U$160))),"")</f>
        <v/>
      </c>
      <c r="Z57" s="725"/>
      <c r="AA57" s="194" t="str" cm="1">
        <f t="array" ref="AA57">IFERROR(IF(IFERROR(_xlfn.IFNA(LOOKUP(2,1/('Project SqFt'!$A$18:$A$160=W57)/('Project SqFt'!$B$18:$B$160=X57),'Project SqFt'!$D$18:$D$160),LOOKUP(2,1/('Project SqFt'!$H$18:$H$160=W57)/('Project SqFt'!$I$18:$I$160=X57),'Project SqFt'!$L$18:$L$160)),LOOKUP(2,1/('Project SqFt'!$P$18:$P$160=W57)/('Project SqFt'!$Q$18:$Q$160=X57),'Project SqFt'!$T$18:$T$160))="","",IFERROR(_xlfn.IFNA(LOOKUP(2,1/('Project SqFt'!$A$18:$A$160=W57)/('Project SqFt'!$B$18:$B$160=X57),'Project SqFt'!$D$18:$D$160),LOOKUP(2,1/('Project SqFt'!$H$18:$H$160=W57)/('Project SqFt'!$I$18:$I$160=X57),'Project SqFt'!$L$18:$L$160)),LOOKUP(2,1/('Project SqFt'!$P$18:$P$160=W57)/('Project SqFt'!$Q$18:$Q$160=X57),'Project SqFt'!$T$18:$T$160))),"")</f>
        <v/>
      </c>
    </row>
    <row r="58" spans="1:27" ht="15" customHeight="1" x14ac:dyDescent="0.25">
      <c r="A58" s="73"/>
      <c r="B58" s="89"/>
      <c r="C58" s="561"/>
      <c r="D58" s="874"/>
      <c r="E58" s="875"/>
      <c r="F58" s="562"/>
      <c r="H58" s="50"/>
      <c r="I58" s="684"/>
      <c r="J58" s="684"/>
      <c r="K58" s="561"/>
      <c r="L58" s="89"/>
      <c r="M58" s="864"/>
      <c r="N58" s="865"/>
      <c r="P58" s="50"/>
      <c r="Q58" s="89"/>
      <c r="R58" s="860"/>
      <c r="S58" s="861"/>
      <c r="T58" s="89"/>
      <c r="U58" s="562"/>
      <c r="W58" s="29"/>
      <c r="X58" s="29"/>
      <c r="Y58" s="859" t="str" cm="1">
        <f t="array" ref="Y58">IFERROR(IF(IFERROR(_xlfn.IFNA(LOOKUP(2,1/('Project SqFt'!$A$18:$A$160=W58)/('Project SqFt'!$B$18:$B$160=X58),'Project SqFt'!$F$18:$F$160),LOOKUP(2,1/('Project SqFt'!$H$18:$H$160=W58)/('Project SqFt'!$I$18:$I$160=X58),'Project SqFt'!$M$18:$M$160)),LOOKUP(2,1/('Project SqFt'!$P$18:$P$160=W58)/('Project SqFt'!$Q$18:$Q$160=X58),'Project SqFt'!$U$18:$U$160))="","",IFERROR(_xlfn.IFNA(LOOKUP(2,1/('Project SqFt'!$A$18:$A$160=W58)/('Project SqFt'!$B$18:$B$160=X58),'Project SqFt'!$F$18:$F$160),LOOKUP(2,1/('Project SqFt'!$H$18:$H$160=W58)/('Project SqFt'!$I$18:$I$160=X58),'Project SqFt'!$M$18:$M$160)),LOOKUP(2,1/('Project SqFt'!$P$18:$P$160=W58)/('Project SqFt'!$Q$18:$Q$160=X58),'Project SqFt'!$U$18:$U$160))),"")</f>
        <v/>
      </c>
      <c r="Z58" s="725"/>
      <c r="AA58" s="194" t="str" cm="1">
        <f t="array" ref="AA58">IFERROR(IF(IFERROR(_xlfn.IFNA(LOOKUP(2,1/('Project SqFt'!$A$18:$A$160=W58)/('Project SqFt'!$B$18:$B$160=X58),'Project SqFt'!$D$18:$D$160),LOOKUP(2,1/('Project SqFt'!$H$18:$H$160=W58)/('Project SqFt'!$I$18:$I$160=X58),'Project SqFt'!$L$18:$L$160)),LOOKUP(2,1/('Project SqFt'!$P$18:$P$160=W58)/('Project SqFt'!$Q$18:$Q$160=X58),'Project SqFt'!$T$18:$T$160))="","",IFERROR(_xlfn.IFNA(LOOKUP(2,1/('Project SqFt'!$A$18:$A$160=W58)/('Project SqFt'!$B$18:$B$160=X58),'Project SqFt'!$D$18:$D$160),LOOKUP(2,1/('Project SqFt'!$H$18:$H$160=W58)/('Project SqFt'!$I$18:$I$160=X58),'Project SqFt'!$L$18:$L$160)),LOOKUP(2,1/('Project SqFt'!$P$18:$P$160=W58)/('Project SqFt'!$Q$18:$Q$160=X58),'Project SqFt'!$T$18:$T$160))),"")</f>
        <v/>
      </c>
    </row>
    <row r="59" spans="1:27" ht="15" customHeight="1" x14ac:dyDescent="0.25">
      <c r="A59" s="50"/>
      <c r="B59" s="89"/>
      <c r="C59" s="561"/>
      <c r="D59" s="874"/>
      <c r="E59" s="875"/>
      <c r="F59" s="562"/>
      <c r="H59" s="50"/>
      <c r="I59" s="684"/>
      <c r="J59" s="684"/>
      <c r="K59" s="561"/>
      <c r="L59" s="89"/>
      <c r="M59" s="864"/>
      <c r="N59" s="865"/>
      <c r="P59" s="50"/>
      <c r="Q59" s="89"/>
      <c r="R59" s="860"/>
      <c r="S59" s="861"/>
      <c r="T59" s="89"/>
      <c r="U59" s="562"/>
      <c r="W59" s="29"/>
      <c r="X59" s="29"/>
      <c r="Y59" s="859" t="str" cm="1">
        <f t="array" ref="Y59">IFERROR(IF(IFERROR(_xlfn.IFNA(LOOKUP(2,1/('Project SqFt'!$A$18:$A$160=W59)/('Project SqFt'!$B$18:$B$160=X59),'Project SqFt'!$F$18:$F$160),LOOKUP(2,1/('Project SqFt'!$H$18:$H$160=W59)/('Project SqFt'!$I$18:$I$160=X59),'Project SqFt'!$M$18:$M$160)),LOOKUP(2,1/('Project SqFt'!$P$18:$P$160=W59)/('Project SqFt'!$Q$18:$Q$160=X59),'Project SqFt'!$U$18:$U$160))="","",IFERROR(_xlfn.IFNA(LOOKUP(2,1/('Project SqFt'!$A$18:$A$160=W59)/('Project SqFt'!$B$18:$B$160=X59),'Project SqFt'!$F$18:$F$160),LOOKUP(2,1/('Project SqFt'!$H$18:$H$160=W59)/('Project SqFt'!$I$18:$I$160=X59),'Project SqFt'!$M$18:$M$160)),LOOKUP(2,1/('Project SqFt'!$P$18:$P$160=W59)/('Project SqFt'!$Q$18:$Q$160=X59),'Project SqFt'!$U$18:$U$160))),"")</f>
        <v/>
      </c>
      <c r="Z59" s="725"/>
      <c r="AA59" s="194" t="str" cm="1">
        <f t="array" ref="AA59">IFERROR(IF(IFERROR(_xlfn.IFNA(LOOKUP(2,1/('Project SqFt'!$A$18:$A$160=W59)/('Project SqFt'!$B$18:$B$160=X59),'Project SqFt'!$D$18:$D$160),LOOKUP(2,1/('Project SqFt'!$H$18:$H$160=W59)/('Project SqFt'!$I$18:$I$160=X59),'Project SqFt'!$L$18:$L$160)),LOOKUP(2,1/('Project SqFt'!$P$18:$P$160=W59)/('Project SqFt'!$Q$18:$Q$160=X59),'Project SqFt'!$T$18:$T$160))="","",IFERROR(_xlfn.IFNA(LOOKUP(2,1/('Project SqFt'!$A$18:$A$160=W59)/('Project SqFt'!$B$18:$B$160=X59),'Project SqFt'!$D$18:$D$160),LOOKUP(2,1/('Project SqFt'!$H$18:$H$160=W59)/('Project SqFt'!$I$18:$I$160=X59),'Project SqFt'!$L$18:$L$160)),LOOKUP(2,1/('Project SqFt'!$P$18:$P$160=W59)/('Project SqFt'!$Q$18:$Q$160=X59),'Project SqFt'!$T$18:$T$160))),"")</f>
        <v/>
      </c>
    </row>
    <row r="60" spans="1:27" ht="15" customHeight="1" x14ac:dyDescent="0.25">
      <c r="A60" s="73"/>
      <c r="B60" s="89"/>
      <c r="C60" s="561"/>
      <c r="D60" s="874"/>
      <c r="E60" s="875"/>
      <c r="F60" s="562"/>
      <c r="H60" s="50"/>
      <c r="I60" s="684"/>
      <c r="J60" s="684"/>
      <c r="K60" s="561"/>
      <c r="L60" s="89"/>
      <c r="M60" s="864"/>
      <c r="N60" s="865"/>
      <c r="P60" s="50"/>
      <c r="Q60" s="89"/>
      <c r="R60" s="860"/>
      <c r="S60" s="861"/>
      <c r="T60" s="89"/>
      <c r="U60" s="562"/>
      <c r="W60" s="29"/>
      <c r="X60" s="29"/>
      <c r="Y60" s="859" t="str" cm="1">
        <f t="array" ref="Y60">IFERROR(IF(IFERROR(_xlfn.IFNA(LOOKUP(2,1/('Project SqFt'!$A$18:$A$160=W60)/('Project SqFt'!$B$18:$B$160=X60),'Project SqFt'!$F$18:$F$160),LOOKUP(2,1/('Project SqFt'!$H$18:$H$160=W60)/('Project SqFt'!$I$18:$I$160=X60),'Project SqFt'!$M$18:$M$160)),LOOKUP(2,1/('Project SqFt'!$P$18:$P$160=W60)/('Project SqFt'!$Q$18:$Q$160=X60),'Project SqFt'!$U$18:$U$160))="","",IFERROR(_xlfn.IFNA(LOOKUP(2,1/('Project SqFt'!$A$18:$A$160=W60)/('Project SqFt'!$B$18:$B$160=X60),'Project SqFt'!$F$18:$F$160),LOOKUP(2,1/('Project SqFt'!$H$18:$H$160=W60)/('Project SqFt'!$I$18:$I$160=X60),'Project SqFt'!$M$18:$M$160)),LOOKUP(2,1/('Project SqFt'!$P$18:$P$160=W60)/('Project SqFt'!$Q$18:$Q$160=X60),'Project SqFt'!$U$18:$U$160))),"")</f>
        <v/>
      </c>
      <c r="Z60" s="725"/>
      <c r="AA60" s="194" t="str" cm="1">
        <f t="array" ref="AA60">IFERROR(IF(IFERROR(_xlfn.IFNA(LOOKUP(2,1/('Project SqFt'!$A$18:$A$160=W60)/('Project SqFt'!$B$18:$B$160=X60),'Project SqFt'!$D$18:$D$160),LOOKUP(2,1/('Project SqFt'!$H$18:$H$160=W60)/('Project SqFt'!$I$18:$I$160=X60),'Project SqFt'!$L$18:$L$160)),LOOKUP(2,1/('Project SqFt'!$P$18:$P$160=W60)/('Project SqFt'!$Q$18:$Q$160=X60),'Project SqFt'!$T$18:$T$160))="","",IFERROR(_xlfn.IFNA(LOOKUP(2,1/('Project SqFt'!$A$18:$A$160=W60)/('Project SqFt'!$B$18:$B$160=X60),'Project SqFt'!$D$18:$D$160),LOOKUP(2,1/('Project SqFt'!$H$18:$H$160=W60)/('Project SqFt'!$I$18:$I$160=X60),'Project SqFt'!$L$18:$L$160)),LOOKUP(2,1/('Project SqFt'!$P$18:$P$160=W60)/('Project SqFt'!$Q$18:$Q$160=X60),'Project SqFt'!$T$18:$T$160))),"")</f>
        <v/>
      </c>
    </row>
    <row r="61" spans="1:27" ht="15" customHeight="1" x14ac:dyDescent="0.25">
      <c r="A61" s="50"/>
      <c r="B61" s="89"/>
      <c r="C61" s="561"/>
      <c r="D61" s="874"/>
      <c r="E61" s="875"/>
      <c r="F61" s="562"/>
      <c r="H61" s="50"/>
      <c r="I61" s="684"/>
      <c r="J61" s="684"/>
      <c r="K61" s="561"/>
      <c r="L61" s="89"/>
      <c r="M61" s="864"/>
      <c r="N61" s="865"/>
      <c r="P61" s="50"/>
      <c r="Q61" s="89"/>
      <c r="R61" s="860"/>
      <c r="S61" s="861"/>
      <c r="T61" s="89"/>
      <c r="U61" s="562"/>
      <c r="W61" s="29"/>
      <c r="X61" s="29"/>
      <c r="Y61" s="859" t="str" cm="1">
        <f t="array" ref="Y61">IFERROR(IF(IFERROR(_xlfn.IFNA(LOOKUP(2,1/('Project SqFt'!$A$18:$A$160=W61)/('Project SqFt'!$B$18:$B$160=X61),'Project SqFt'!$F$18:$F$160),LOOKUP(2,1/('Project SqFt'!$H$18:$H$160=W61)/('Project SqFt'!$I$18:$I$160=X61),'Project SqFt'!$M$18:$M$160)),LOOKUP(2,1/('Project SqFt'!$P$18:$P$160=W61)/('Project SqFt'!$Q$18:$Q$160=X61),'Project SqFt'!$U$18:$U$160))="","",IFERROR(_xlfn.IFNA(LOOKUP(2,1/('Project SqFt'!$A$18:$A$160=W61)/('Project SqFt'!$B$18:$B$160=X61),'Project SqFt'!$F$18:$F$160),LOOKUP(2,1/('Project SqFt'!$H$18:$H$160=W61)/('Project SqFt'!$I$18:$I$160=X61),'Project SqFt'!$M$18:$M$160)),LOOKUP(2,1/('Project SqFt'!$P$18:$P$160=W61)/('Project SqFt'!$Q$18:$Q$160=X61),'Project SqFt'!$U$18:$U$160))),"")</f>
        <v/>
      </c>
      <c r="Z61" s="725"/>
      <c r="AA61" s="194" t="str" cm="1">
        <f t="array" ref="AA61">IFERROR(IF(IFERROR(_xlfn.IFNA(LOOKUP(2,1/('Project SqFt'!$A$18:$A$160=W61)/('Project SqFt'!$B$18:$B$160=X61),'Project SqFt'!$D$18:$D$160),LOOKUP(2,1/('Project SqFt'!$H$18:$H$160=W61)/('Project SqFt'!$I$18:$I$160=X61),'Project SqFt'!$L$18:$L$160)),LOOKUP(2,1/('Project SqFt'!$P$18:$P$160=W61)/('Project SqFt'!$Q$18:$Q$160=X61),'Project SqFt'!$T$18:$T$160))="","",IFERROR(_xlfn.IFNA(LOOKUP(2,1/('Project SqFt'!$A$18:$A$160=W61)/('Project SqFt'!$B$18:$B$160=X61),'Project SqFt'!$D$18:$D$160),LOOKUP(2,1/('Project SqFt'!$H$18:$H$160=W61)/('Project SqFt'!$I$18:$I$160=X61),'Project SqFt'!$L$18:$L$160)),LOOKUP(2,1/('Project SqFt'!$P$18:$P$160=W61)/('Project SqFt'!$Q$18:$Q$160=X61),'Project SqFt'!$T$18:$T$160))),"")</f>
        <v/>
      </c>
    </row>
    <row r="62" spans="1:27" ht="15" customHeight="1" x14ac:dyDescent="0.25">
      <c r="A62" s="73"/>
      <c r="B62" s="89"/>
      <c r="C62" s="561"/>
      <c r="D62" s="874"/>
      <c r="E62" s="875"/>
      <c r="F62" s="562"/>
      <c r="H62" s="50"/>
      <c r="I62" s="684"/>
      <c r="J62" s="684"/>
      <c r="K62" s="561"/>
      <c r="L62" s="89"/>
      <c r="M62" s="864"/>
      <c r="N62" s="865"/>
      <c r="P62" s="50"/>
      <c r="Q62" s="89"/>
      <c r="R62" s="860"/>
      <c r="S62" s="861"/>
      <c r="T62" s="89"/>
      <c r="U62" s="562"/>
      <c r="W62" s="29"/>
      <c r="X62" s="29"/>
      <c r="Y62" s="859" t="str" cm="1">
        <f t="array" ref="Y62">IFERROR(IF(IFERROR(_xlfn.IFNA(LOOKUP(2,1/('Project SqFt'!$A$18:$A$160=W62)/('Project SqFt'!$B$18:$B$160=X62),'Project SqFt'!$F$18:$F$160),LOOKUP(2,1/('Project SqFt'!$H$18:$H$160=W62)/('Project SqFt'!$I$18:$I$160=X62),'Project SqFt'!$M$18:$M$160)),LOOKUP(2,1/('Project SqFt'!$P$18:$P$160=W62)/('Project SqFt'!$Q$18:$Q$160=X62),'Project SqFt'!$U$18:$U$160))="","",IFERROR(_xlfn.IFNA(LOOKUP(2,1/('Project SqFt'!$A$18:$A$160=W62)/('Project SqFt'!$B$18:$B$160=X62),'Project SqFt'!$F$18:$F$160),LOOKUP(2,1/('Project SqFt'!$H$18:$H$160=W62)/('Project SqFt'!$I$18:$I$160=X62),'Project SqFt'!$M$18:$M$160)),LOOKUP(2,1/('Project SqFt'!$P$18:$P$160=W62)/('Project SqFt'!$Q$18:$Q$160=X62),'Project SqFt'!$U$18:$U$160))),"")</f>
        <v/>
      </c>
      <c r="Z62" s="725"/>
      <c r="AA62" s="194" t="str" cm="1">
        <f t="array" ref="AA62">IFERROR(IF(IFERROR(_xlfn.IFNA(LOOKUP(2,1/('Project SqFt'!$A$18:$A$160=W62)/('Project SqFt'!$B$18:$B$160=X62),'Project SqFt'!$D$18:$D$160),LOOKUP(2,1/('Project SqFt'!$H$18:$H$160=W62)/('Project SqFt'!$I$18:$I$160=X62),'Project SqFt'!$L$18:$L$160)),LOOKUP(2,1/('Project SqFt'!$P$18:$P$160=W62)/('Project SqFt'!$Q$18:$Q$160=X62),'Project SqFt'!$T$18:$T$160))="","",IFERROR(_xlfn.IFNA(LOOKUP(2,1/('Project SqFt'!$A$18:$A$160=W62)/('Project SqFt'!$B$18:$B$160=X62),'Project SqFt'!$D$18:$D$160),LOOKUP(2,1/('Project SqFt'!$H$18:$H$160=W62)/('Project SqFt'!$I$18:$I$160=X62),'Project SqFt'!$L$18:$L$160)),LOOKUP(2,1/('Project SqFt'!$P$18:$P$160=W62)/('Project SqFt'!$Q$18:$Q$160=X62),'Project SqFt'!$T$18:$T$160))),"")</f>
        <v/>
      </c>
    </row>
    <row r="63" spans="1:27" ht="15" customHeight="1" x14ac:dyDescent="0.25">
      <c r="A63" s="50"/>
      <c r="B63" s="89"/>
      <c r="C63" s="561"/>
      <c r="D63" s="874"/>
      <c r="E63" s="875"/>
      <c r="F63" s="562"/>
      <c r="H63" s="50"/>
      <c r="I63" s="684"/>
      <c r="J63" s="684"/>
      <c r="K63" s="561"/>
      <c r="L63" s="89"/>
      <c r="M63" s="864"/>
      <c r="N63" s="865"/>
      <c r="P63" s="50"/>
      <c r="Q63" s="89"/>
      <c r="R63" s="860"/>
      <c r="S63" s="861"/>
      <c r="T63" s="89"/>
      <c r="U63" s="562"/>
      <c r="W63" s="29"/>
      <c r="X63" s="29"/>
      <c r="Y63" s="859" t="str" cm="1">
        <f t="array" ref="Y63">IFERROR(IF(IFERROR(_xlfn.IFNA(LOOKUP(2,1/('Project SqFt'!$A$18:$A$160=W63)/('Project SqFt'!$B$18:$B$160=X63),'Project SqFt'!$F$18:$F$160),LOOKUP(2,1/('Project SqFt'!$H$18:$H$160=W63)/('Project SqFt'!$I$18:$I$160=X63),'Project SqFt'!$M$18:$M$160)),LOOKUP(2,1/('Project SqFt'!$P$18:$P$160=W63)/('Project SqFt'!$Q$18:$Q$160=X63),'Project SqFt'!$U$18:$U$160))="","",IFERROR(_xlfn.IFNA(LOOKUP(2,1/('Project SqFt'!$A$18:$A$160=W63)/('Project SqFt'!$B$18:$B$160=X63),'Project SqFt'!$F$18:$F$160),LOOKUP(2,1/('Project SqFt'!$H$18:$H$160=W63)/('Project SqFt'!$I$18:$I$160=X63),'Project SqFt'!$M$18:$M$160)),LOOKUP(2,1/('Project SqFt'!$P$18:$P$160=W63)/('Project SqFt'!$Q$18:$Q$160=X63),'Project SqFt'!$U$18:$U$160))),"")</f>
        <v/>
      </c>
      <c r="Z63" s="725"/>
      <c r="AA63" s="194" t="str" cm="1">
        <f t="array" ref="AA63">IFERROR(IF(IFERROR(_xlfn.IFNA(LOOKUP(2,1/('Project SqFt'!$A$18:$A$160=W63)/('Project SqFt'!$B$18:$B$160=X63),'Project SqFt'!$D$18:$D$160),LOOKUP(2,1/('Project SqFt'!$H$18:$H$160=W63)/('Project SqFt'!$I$18:$I$160=X63),'Project SqFt'!$L$18:$L$160)),LOOKUP(2,1/('Project SqFt'!$P$18:$P$160=W63)/('Project SqFt'!$Q$18:$Q$160=X63),'Project SqFt'!$T$18:$T$160))="","",IFERROR(_xlfn.IFNA(LOOKUP(2,1/('Project SqFt'!$A$18:$A$160=W63)/('Project SqFt'!$B$18:$B$160=X63),'Project SqFt'!$D$18:$D$160),LOOKUP(2,1/('Project SqFt'!$H$18:$H$160=W63)/('Project SqFt'!$I$18:$I$160=X63),'Project SqFt'!$L$18:$L$160)),LOOKUP(2,1/('Project SqFt'!$P$18:$P$160=W63)/('Project SqFt'!$Q$18:$Q$160=X63),'Project SqFt'!$T$18:$T$160))),"")</f>
        <v/>
      </c>
    </row>
    <row r="64" spans="1:27" ht="15" customHeight="1" x14ac:dyDescent="0.25">
      <c r="A64" s="73"/>
      <c r="B64" s="89"/>
      <c r="C64" s="561"/>
      <c r="D64" s="874"/>
      <c r="E64" s="875"/>
      <c r="F64" s="562"/>
      <c r="H64" s="50"/>
      <c r="I64" s="684"/>
      <c r="J64" s="684"/>
      <c r="K64" s="561"/>
      <c r="L64" s="89"/>
      <c r="M64" s="864"/>
      <c r="N64" s="865"/>
      <c r="P64" s="50"/>
      <c r="Q64" s="89"/>
      <c r="R64" s="860"/>
      <c r="S64" s="861"/>
      <c r="T64" s="89"/>
      <c r="U64" s="562"/>
      <c r="W64" s="29"/>
      <c r="X64" s="29"/>
      <c r="Y64" s="859" t="str" cm="1">
        <f t="array" ref="Y64">IFERROR(IF(IFERROR(_xlfn.IFNA(LOOKUP(2,1/('Project SqFt'!$A$18:$A$160=W64)/('Project SqFt'!$B$18:$B$160=X64),'Project SqFt'!$F$18:$F$160),LOOKUP(2,1/('Project SqFt'!$H$18:$H$160=W64)/('Project SqFt'!$I$18:$I$160=X64),'Project SqFt'!$M$18:$M$160)),LOOKUP(2,1/('Project SqFt'!$P$18:$P$160=W64)/('Project SqFt'!$Q$18:$Q$160=X64),'Project SqFt'!$U$18:$U$160))="","",IFERROR(_xlfn.IFNA(LOOKUP(2,1/('Project SqFt'!$A$18:$A$160=W64)/('Project SqFt'!$B$18:$B$160=X64),'Project SqFt'!$F$18:$F$160),LOOKUP(2,1/('Project SqFt'!$H$18:$H$160=W64)/('Project SqFt'!$I$18:$I$160=X64),'Project SqFt'!$M$18:$M$160)),LOOKUP(2,1/('Project SqFt'!$P$18:$P$160=W64)/('Project SqFt'!$Q$18:$Q$160=X64),'Project SqFt'!$U$18:$U$160))),"")</f>
        <v/>
      </c>
      <c r="Z64" s="725"/>
      <c r="AA64" s="194" t="str" cm="1">
        <f t="array" ref="AA64">IFERROR(IF(IFERROR(_xlfn.IFNA(LOOKUP(2,1/('Project SqFt'!$A$18:$A$160=W64)/('Project SqFt'!$B$18:$B$160=X64),'Project SqFt'!$D$18:$D$160),LOOKUP(2,1/('Project SqFt'!$H$18:$H$160=W64)/('Project SqFt'!$I$18:$I$160=X64),'Project SqFt'!$L$18:$L$160)),LOOKUP(2,1/('Project SqFt'!$P$18:$P$160=W64)/('Project SqFt'!$Q$18:$Q$160=X64),'Project SqFt'!$T$18:$T$160))="","",IFERROR(_xlfn.IFNA(LOOKUP(2,1/('Project SqFt'!$A$18:$A$160=W64)/('Project SqFt'!$B$18:$B$160=X64),'Project SqFt'!$D$18:$D$160),LOOKUP(2,1/('Project SqFt'!$H$18:$H$160=W64)/('Project SqFt'!$I$18:$I$160=X64),'Project SqFt'!$L$18:$L$160)),LOOKUP(2,1/('Project SqFt'!$P$18:$P$160=W64)/('Project SqFt'!$Q$18:$Q$160=X64),'Project SqFt'!$T$18:$T$160))),"")</f>
        <v/>
      </c>
    </row>
    <row r="65" spans="1:27" ht="15" customHeight="1" x14ac:dyDescent="0.25">
      <c r="A65" s="50"/>
      <c r="B65" s="89"/>
      <c r="C65" s="561"/>
      <c r="D65" s="874"/>
      <c r="E65" s="875"/>
      <c r="F65" s="562"/>
      <c r="H65" s="50"/>
      <c r="I65" s="684"/>
      <c r="J65" s="684"/>
      <c r="K65" s="561"/>
      <c r="L65" s="89"/>
      <c r="M65" s="864"/>
      <c r="N65" s="865"/>
      <c r="P65" s="50"/>
      <c r="Q65" s="89"/>
      <c r="R65" s="860"/>
      <c r="S65" s="861"/>
      <c r="T65" s="89"/>
      <c r="U65" s="562"/>
      <c r="W65" s="29"/>
      <c r="X65" s="29"/>
      <c r="Y65" s="859" t="str" cm="1">
        <f t="array" ref="Y65">IFERROR(IF(IFERROR(_xlfn.IFNA(LOOKUP(2,1/('Project SqFt'!$A$18:$A$160=W65)/('Project SqFt'!$B$18:$B$160=X65),'Project SqFt'!$F$18:$F$160),LOOKUP(2,1/('Project SqFt'!$H$18:$H$160=W65)/('Project SqFt'!$I$18:$I$160=X65),'Project SqFt'!$M$18:$M$160)),LOOKUP(2,1/('Project SqFt'!$P$18:$P$160=W65)/('Project SqFt'!$Q$18:$Q$160=X65),'Project SqFt'!$U$18:$U$160))="","",IFERROR(_xlfn.IFNA(LOOKUP(2,1/('Project SqFt'!$A$18:$A$160=W65)/('Project SqFt'!$B$18:$B$160=X65),'Project SqFt'!$F$18:$F$160),LOOKUP(2,1/('Project SqFt'!$H$18:$H$160=W65)/('Project SqFt'!$I$18:$I$160=X65),'Project SqFt'!$M$18:$M$160)),LOOKUP(2,1/('Project SqFt'!$P$18:$P$160=W65)/('Project SqFt'!$Q$18:$Q$160=X65),'Project SqFt'!$U$18:$U$160))),"")</f>
        <v/>
      </c>
      <c r="Z65" s="725"/>
      <c r="AA65" s="194" t="str" cm="1">
        <f t="array" ref="AA65">IFERROR(IF(IFERROR(_xlfn.IFNA(LOOKUP(2,1/('Project SqFt'!$A$18:$A$160=W65)/('Project SqFt'!$B$18:$B$160=X65),'Project SqFt'!$D$18:$D$160),LOOKUP(2,1/('Project SqFt'!$H$18:$H$160=W65)/('Project SqFt'!$I$18:$I$160=X65),'Project SqFt'!$L$18:$L$160)),LOOKUP(2,1/('Project SqFt'!$P$18:$P$160=W65)/('Project SqFt'!$Q$18:$Q$160=X65),'Project SqFt'!$T$18:$T$160))="","",IFERROR(_xlfn.IFNA(LOOKUP(2,1/('Project SqFt'!$A$18:$A$160=W65)/('Project SqFt'!$B$18:$B$160=X65),'Project SqFt'!$D$18:$D$160),LOOKUP(2,1/('Project SqFt'!$H$18:$H$160=W65)/('Project SqFt'!$I$18:$I$160=X65),'Project SqFt'!$L$18:$L$160)),LOOKUP(2,1/('Project SqFt'!$P$18:$P$160=W65)/('Project SqFt'!$Q$18:$Q$160=X65),'Project SqFt'!$T$18:$T$160))),"")</f>
        <v/>
      </c>
    </row>
    <row r="66" spans="1:27" ht="15" customHeight="1" x14ac:dyDescent="0.25">
      <c r="A66" s="73"/>
      <c r="B66" s="89"/>
      <c r="C66" s="561"/>
      <c r="D66" s="874"/>
      <c r="E66" s="875"/>
      <c r="F66" s="562"/>
      <c r="H66" s="50"/>
      <c r="I66" s="684"/>
      <c r="J66" s="684"/>
      <c r="K66" s="561"/>
      <c r="L66" s="89"/>
      <c r="M66" s="864"/>
      <c r="N66" s="865"/>
      <c r="P66" s="50"/>
      <c r="Q66" s="89"/>
      <c r="R66" s="860"/>
      <c r="S66" s="861"/>
      <c r="T66" s="89"/>
      <c r="U66" s="562"/>
      <c r="W66" s="29"/>
      <c r="X66" s="29"/>
      <c r="Y66" s="859" t="str" cm="1">
        <f t="array" ref="Y66">IFERROR(IF(IFERROR(_xlfn.IFNA(LOOKUP(2,1/('Project SqFt'!$A$18:$A$160=W66)/('Project SqFt'!$B$18:$B$160=X66),'Project SqFt'!$F$18:$F$160),LOOKUP(2,1/('Project SqFt'!$H$18:$H$160=W66)/('Project SqFt'!$I$18:$I$160=X66),'Project SqFt'!$M$18:$M$160)),LOOKUP(2,1/('Project SqFt'!$P$18:$P$160=W66)/('Project SqFt'!$Q$18:$Q$160=X66),'Project SqFt'!$U$18:$U$160))="","",IFERROR(_xlfn.IFNA(LOOKUP(2,1/('Project SqFt'!$A$18:$A$160=W66)/('Project SqFt'!$B$18:$B$160=X66),'Project SqFt'!$F$18:$F$160),LOOKUP(2,1/('Project SqFt'!$H$18:$H$160=W66)/('Project SqFt'!$I$18:$I$160=X66),'Project SqFt'!$M$18:$M$160)),LOOKUP(2,1/('Project SqFt'!$P$18:$P$160=W66)/('Project SqFt'!$Q$18:$Q$160=X66),'Project SqFt'!$U$18:$U$160))),"")</f>
        <v/>
      </c>
      <c r="Z66" s="725"/>
      <c r="AA66" s="194" t="str" cm="1">
        <f t="array" ref="AA66">IFERROR(IF(IFERROR(_xlfn.IFNA(LOOKUP(2,1/('Project SqFt'!$A$18:$A$160=W66)/('Project SqFt'!$B$18:$B$160=X66),'Project SqFt'!$D$18:$D$160),LOOKUP(2,1/('Project SqFt'!$H$18:$H$160=W66)/('Project SqFt'!$I$18:$I$160=X66),'Project SqFt'!$L$18:$L$160)),LOOKUP(2,1/('Project SqFt'!$P$18:$P$160=W66)/('Project SqFt'!$Q$18:$Q$160=X66),'Project SqFt'!$T$18:$T$160))="","",IFERROR(_xlfn.IFNA(LOOKUP(2,1/('Project SqFt'!$A$18:$A$160=W66)/('Project SqFt'!$B$18:$B$160=X66),'Project SqFt'!$D$18:$D$160),LOOKUP(2,1/('Project SqFt'!$H$18:$H$160=W66)/('Project SqFt'!$I$18:$I$160=X66),'Project SqFt'!$L$18:$L$160)),LOOKUP(2,1/('Project SqFt'!$P$18:$P$160=W66)/('Project SqFt'!$Q$18:$Q$160=X66),'Project SqFt'!$T$18:$T$160))),"")</f>
        <v/>
      </c>
    </row>
    <row r="67" spans="1:27" ht="15" customHeight="1" x14ac:dyDescent="0.25">
      <c r="A67" s="50"/>
      <c r="B67" s="89"/>
      <c r="C67" s="561"/>
      <c r="D67" s="874"/>
      <c r="E67" s="875"/>
      <c r="F67" s="562"/>
      <c r="H67" s="50"/>
      <c r="I67" s="684"/>
      <c r="J67" s="684"/>
      <c r="K67" s="561"/>
      <c r="L67" s="89"/>
      <c r="M67" s="864"/>
      <c r="N67" s="865"/>
      <c r="P67" s="50"/>
      <c r="Q67" s="89"/>
      <c r="R67" s="860"/>
      <c r="S67" s="861"/>
      <c r="T67" s="89"/>
      <c r="U67" s="562"/>
      <c r="W67" s="29"/>
      <c r="X67" s="29"/>
      <c r="Y67" s="859" t="str" cm="1">
        <f t="array" ref="Y67">IFERROR(IF(IFERROR(_xlfn.IFNA(LOOKUP(2,1/('Project SqFt'!$A$18:$A$160=W67)/('Project SqFt'!$B$18:$B$160=X67),'Project SqFt'!$F$18:$F$160),LOOKUP(2,1/('Project SqFt'!$H$18:$H$160=W67)/('Project SqFt'!$I$18:$I$160=X67),'Project SqFt'!$M$18:$M$160)),LOOKUP(2,1/('Project SqFt'!$P$18:$P$160=W67)/('Project SqFt'!$Q$18:$Q$160=X67),'Project SqFt'!$U$18:$U$160))="","",IFERROR(_xlfn.IFNA(LOOKUP(2,1/('Project SqFt'!$A$18:$A$160=W67)/('Project SqFt'!$B$18:$B$160=X67),'Project SqFt'!$F$18:$F$160),LOOKUP(2,1/('Project SqFt'!$H$18:$H$160=W67)/('Project SqFt'!$I$18:$I$160=X67),'Project SqFt'!$M$18:$M$160)),LOOKUP(2,1/('Project SqFt'!$P$18:$P$160=W67)/('Project SqFt'!$Q$18:$Q$160=X67),'Project SqFt'!$U$18:$U$160))),"")</f>
        <v/>
      </c>
      <c r="Z67" s="725"/>
      <c r="AA67" s="194" t="str" cm="1">
        <f t="array" ref="AA67">IFERROR(IF(IFERROR(_xlfn.IFNA(LOOKUP(2,1/('Project SqFt'!$A$18:$A$160=W67)/('Project SqFt'!$B$18:$B$160=X67),'Project SqFt'!$D$18:$D$160),LOOKUP(2,1/('Project SqFt'!$H$18:$H$160=W67)/('Project SqFt'!$I$18:$I$160=X67),'Project SqFt'!$L$18:$L$160)),LOOKUP(2,1/('Project SqFt'!$P$18:$P$160=W67)/('Project SqFt'!$Q$18:$Q$160=X67),'Project SqFt'!$T$18:$T$160))="","",IFERROR(_xlfn.IFNA(LOOKUP(2,1/('Project SqFt'!$A$18:$A$160=W67)/('Project SqFt'!$B$18:$B$160=X67),'Project SqFt'!$D$18:$D$160),LOOKUP(2,1/('Project SqFt'!$H$18:$H$160=W67)/('Project SqFt'!$I$18:$I$160=X67),'Project SqFt'!$L$18:$L$160)),LOOKUP(2,1/('Project SqFt'!$P$18:$P$160=W67)/('Project SqFt'!$Q$18:$Q$160=X67),'Project SqFt'!$T$18:$T$160))),"")</f>
        <v/>
      </c>
    </row>
    <row r="68" spans="1:27" ht="15" customHeight="1" x14ac:dyDescent="0.25">
      <c r="A68" s="73"/>
      <c r="B68" s="89"/>
      <c r="C68" s="561"/>
      <c r="D68" s="874"/>
      <c r="E68" s="875"/>
      <c r="F68" s="562"/>
      <c r="H68" s="50"/>
      <c r="I68" s="684"/>
      <c r="J68" s="684"/>
      <c r="K68" s="561"/>
      <c r="L68" s="89"/>
      <c r="M68" s="864"/>
      <c r="N68" s="865"/>
      <c r="P68" s="50"/>
      <c r="Q68" s="89"/>
      <c r="R68" s="860"/>
      <c r="S68" s="861"/>
      <c r="T68" s="89"/>
      <c r="U68" s="562"/>
      <c r="W68" s="29"/>
      <c r="X68" s="29"/>
      <c r="Y68" s="859" t="str" cm="1">
        <f t="array" ref="Y68">IFERROR(IF(IFERROR(_xlfn.IFNA(LOOKUP(2,1/('Project SqFt'!$A$18:$A$160=W68)/('Project SqFt'!$B$18:$B$160=X68),'Project SqFt'!$F$18:$F$160),LOOKUP(2,1/('Project SqFt'!$H$18:$H$160=W68)/('Project SqFt'!$I$18:$I$160=X68),'Project SqFt'!$M$18:$M$160)),LOOKUP(2,1/('Project SqFt'!$P$18:$P$160=W68)/('Project SqFt'!$Q$18:$Q$160=X68),'Project SqFt'!$U$18:$U$160))="","",IFERROR(_xlfn.IFNA(LOOKUP(2,1/('Project SqFt'!$A$18:$A$160=W68)/('Project SqFt'!$B$18:$B$160=X68),'Project SqFt'!$F$18:$F$160),LOOKUP(2,1/('Project SqFt'!$H$18:$H$160=W68)/('Project SqFt'!$I$18:$I$160=X68),'Project SqFt'!$M$18:$M$160)),LOOKUP(2,1/('Project SqFt'!$P$18:$P$160=W68)/('Project SqFt'!$Q$18:$Q$160=X68),'Project SqFt'!$U$18:$U$160))),"")</f>
        <v/>
      </c>
      <c r="Z68" s="725"/>
      <c r="AA68" s="194" t="str" cm="1">
        <f t="array" ref="AA68">IFERROR(IF(IFERROR(_xlfn.IFNA(LOOKUP(2,1/('Project SqFt'!$A$18:$A$160=W68)/('Project SqFt'!$B$18:$B$160=X68),'Project SqFt'!$D$18:$D$160),LOOKUP(2,1/('Project SqFt'!$H$18:$H$160=W68)/('Project SqFt'!$I$18:$I$160=X68),'Project SqFt'!$L$18:$L$160)),LOOKUP(2,1/('Project SqFt'!$P$18:$P$160=W68)/('Project SqFt'!$Q$18:$Q$160=X68),'Project SqFt'!$T$18:$T$160))="","",IFERROR(_xlfn.IFNA(LOOKUP(2,1/('Project SqFt'!$A$18:$A$160=W68)/('Project SqFt'!$B$18:$B$160=X68),'Project SqFt'!$D$18:$D$160),LOOKUP(2,1/('Project SqFt'!$H$18:$H$160=W68)/('Project SqFt'!$I$18:$I$160=X68),'Project SqFt'!$L$18:$L$160)),LOOKUP(2,1/('Project SqFt'!$P$18:$P$160=W68)/('Project SqFt'!$Q$18:$Q$160=X68),'Project SqFt'!$T$18:$T$160))),"")</f>
        <v/>
      </c>
    </row>
    <row r="69" spans="1:27" ht="15" customHeight="1" x14ac:dyDescent="0.25">
      <c r="A69" s="50"/>
      <c r="B69" s="89"/>
      <c r="C69" s="561"/>
      <c r="D69" s="874"/>
      <c r="E69" s="875"/>
      <c r="F69" s="562"/>
      <c r="H69" s="50"/>
      <c r="I69" s="684"/>
      <c r="J69" s="684"/>
      <c r="K69" s="561"/>
      <c r="L69" s="89"/>
      <c r="M69" s="864"/>
      <c r="N69" s="865"/>
      <c r="P69" s="50"/>
      <c r="Q69" s="89"/>
      <c r="R69" s="860"/>
      <c r="S69" s="861"/>
      <c r="T69" s="89"/>
      <c r="U69" s="562"/>
      <c r="W69" s="29"/>
      <c r="X69" s="29"/>
      <c r="Y69" s="859" t="str" cm="1">
        <f t="array" ref="Y69">IFERROR(IF(IFERROR(_xlfn.IFNA(LOOKUP(2,1/('Project SqFt'!$A$18:$A$160=W69)/('Project SqFt'!$B$18:$B$160=X69),'Project SqFt'!$F$18:$F$160),LOOKUP(2,1/('Project SqFt'!$H$18:$H$160=W69)/('Project SqFt'!$I$18:$I$160=X69),'Project SqFt'!$M$18:$M$160)),LOOKUP(2,1/('Project SqFt'!$P$18:$P$160=W69)/('Project SqFt'!$Q$18:$Q$160=X69),'Project SqFt'!$U$18:$U$160))="","",IFERROR(_xlfn.IFNA(LOOKUP(2,1/('Project SqFt'!$A$18:$A$160=W69)/('Project SqFt'!$B$18:$B$160=X69),'Project SqFt'!$F$18:$F$160),LOOKUP(2,1/('Project SqFt'!$H$18:$H$160=W69)/('Project SqFt'!$I$18:$I$160=X69),'Project SqFt'!$M$18:$M$160)),LOOKUP(2,1/('Project SqFt'!$P$18:$P$160=W69)/('Project SqFt'!$Q$18:$Q$160=X69),'Project SqFt'!$U$18:$U$160))),"")</f>
        <v/>
      </c>
      <c r="Z69" s="725"/>
      <c r="AA69" s="194" t="str" cm="1">
        <f t="array" ref="AA69">IFERROR(IF(IFERROR(_xlfn.IFNA(LOOKUP(2,1/('Project SqFt'!$A$18:$A$160=W69)/('Project SqFt'!$B$18:$B$160=X69),'Project SqFt'!$D$18:$D$160),LOOKUP(2,1/('Project SqFt'!$H$18:$H$160=W69)/('Project SqFt'!$I$18:$I$160=X69),'Project SqFt'!$L$18:$L$160)),LOOKUP(2,1/('Project SqFt'!$P$18:$P$160=W69)/('Project SqFt'!$Q$18:$Q$160=X69),'Project SqFt'!$T$18:$T$160))="","",IFERROR(_xlfn.IFNA(LOOKUP(2,1/('Project SqFt'!$A$18:$A$160=W69)/('Project SqFt'!$B$18:$B$160=X69),'Project SqFt'!$D$18:$D$160),LOOKUP(2,1/('Project SqFt'!$H$18:$H$160=W69)/('Project SqFt'!$I$18:$I$160=X69),'Project SqFt'!$L$18:$L$160)),LOOKUP(2,1/('Project SqFt'!$P$18:$P$160=W69)/('Project SqFt'!$Q$18:$Q$160=X69),'Project SqFt'!$T$18:$T$160))),"")</f>
        <v/>
      </c>
    </row>
    <row r="70" spans="1:27" ht="15" customHeight="1" x14ac:dyDescent="0.25">
      <c r="A70" s="73"/>
      <c r="B70" s="89"/>
      <c r="C70" s="561"/>
      <c r="D70" s="874"/>
      <c r="E70" s="875"/>
      <c r="F70" s="562"/>
      <c r="H70" s="50"/>
      <c r="I70" s="684"/>
      <c r="J70" s="684"/>
      <c r="K70" s="561"/>
      <c r="L70" s="89"/>
      <c r="M70" s="864"/>
      <c r="N70" s="865"/>
      <c r="P70" s="50"/>
      <c r="Q70" s="89"/>
      <c r="R70" s="860"/>
      <c r="S70" s="861"/>
      <c r="T70" s="89"/>
      <c r="U70" s="562"/>
      <c r="W70" s="29"/>
      <c r="X70" s="29"/>
      <c r="Y70" s="859" t="str" cm="1">
        <f t="array" ref="Y70">IFERROR(IF(IFERROR(_xlfn.IFNA(LOOKUP(2,1/('Project SqFt'!$A$18:$A$160=W70)/('Project SqFt'!$B$18:$B$160=X70),'Project SqFt'!$F$18:$F$160),LOOKUP(2,1/('Project SqFt'!$H$18:$H$160=W70)/('Project SqFt'!$I$18:$I$160=X70),'Project SqFt'!$M$18:$M$160)),LOOKUP(2,1/('Project SqFt'!$P$18:$P$160=W70)/('Project SqFt'!$Q$18:$Q$160=X70),'Project SqFt'!$U$18:$U$160))="","",IFERROR(_xlfn.IFNA(LOOKUP(2,1/('Project SqFt'!$A$18:$A$160=W70)/('Project SqFt'!$B$18:$B$160=X70),'Project SqFt'!$F$18:$F$160),LOOKUP(2,1/('Project SqFt'!$H$18:$H$160=W70)/('Project SqFt'!$I$18:$I$160=X70),'Project SqFt'!$M$18:$M$160)),LOOKUP(2,1/('Project SqFt'!$P$18:$P$160=W70)/('Project SqFt'!$Q$18:$Q$160=X70),'Project SqFt'!$U$18:$U$160))),"")</f>
        <v/>
      </c>
      <c r="Z70" s="725"/>
      <c r="AA70" s="194" t="str" cm="1">
        <f t="array" ref="AA70">IFERROR(IF(IFERROR(_xlfn.IFNA(LOOKUP(2,1/('Project SqFt'!$A$18:$A$160=W70)/('Project SqFt'!$B$18:$B$160=X70),'Project SqFt'!$D$18:$D$160),LOOKUP(2,1/('Project SqFt'!$H$18:$H$160=W70)/('Project SqFt'!$I$18:$I$160=X70),'Project SqFt'!$L$18:$L$160)),LOOKUP(2,1/('Project SqFt'!$P$18:$P$160=W70)/('Project SqFt'!$Q$18:$Q$160=X70),'Project SqFt'!$T$18:$T$160))="","",IFERROR(_xlfn.IFNA(LOOKUP(2,1/('Project SqFt'!$A$18:$A$160=W70)/('Project SqFt'!$B$18:$B$160=X70),'Project SqFt'!$D$18:$D$160),LOOKUP(2,1/('Project SqFt'!$H$18:$H$160=W70)/('Project SqFt'!$I$18:$I$160=X70),'Project SqFt'!$L$18:$L$160)),LOOKUP(2,1/('Project SqFt'!$P$18:$P$160=W70)/('Project SqFt'!$Q$18:$Q$160=X70),'Project SqFt'!$T$18:$T$160))),"")</f>
        <v/>
      </c>
    </row>
    <row r="71" spans="1:27" ht="15" customHeight="1" x14ac:dyDescent="0.25">
      <c r="A71" s="50"/>
      <c r="B71" s="89"/>
      <c r="C71" s="561"/>
      <c r="D71" s="874"/>
      <c r="E71" s="875"/>
      <c r="F71" s="562"/>
      <c r="H71" s="50"/>
      <c r="I71" s="684"/>
      <c r="J71" s="684"/>
      <c r="K71" s="561"/>
      <c r="L71" s="89"/>
      <c r="M71" s="864"/>
      <c r="N71" s="865"/>
      <c r="P71" s="50"/>
      <c r="Q71" s="89"/>
      <c r="R71" s="860"/>
      <c r="S71" s="861"/>
      <c r="T71" s="89"/>
      <c r="U71" s="562"/>
      <c r="W71" s="29"/>
      <c r="X71" s="29"/>
      <c r="Y71" s="859" t="str" cm="1">
        <f t="array" ref="Y71">IFERROR(IF(IFERROR(_xlfn.IFNA(LOOKUP(2,1/('Project SqFt'!$A$18:$A$160=W71)/('Project SqFt'!$B$18:$B$160=X71),'Project SqFt'!$F$18:$F$160),LOOKUP(2,1/('Project SqFt'!$H$18:$H$160=W71)/('Project SqFt'!$I$18:$I$160=X71),'Project SqFt'!$M$18:$M$160)),LOOKUP(2,1/('Project SqFt'!$P$18:$P$160=W71)/('Project SqFt'!$Q$18:$Q$160=X71),'Project SqFt'!$U$18:$U$160))="","",IFERROR(_xlfn.IFNA(LOOKUP(2,1/('Project SqFt'!$A$18:$A$160=W71)/('Project SqFt'!$B$18:$B$160=X71),'Project SqFt'!$F$18:$F$160),LOOKUP(2,1/('Project SqFt'!$H$18:$H$160=W71)/('Project SqFt'!$I$18:$I$160=X71),'Project SqFt'!$M$18:$M$160)),LOOKUP(2,1/('Project SqFt'!$P$18:$P$160=W71)/('Project SqFt'!$Q$18:$Q$160=X71),'Project SqFt'!$U$18:$U$160))),"")</f>
        <v/>
      </c>
      <c r="Z71" s="725"/>
      <c r="AA71" s="194" t="str" cm="1">
        <f t="array" ref="AA71">IFERROR(IF(IFERROR(_xlfn.IFNA(LOOKUP(2,1/('Project SqFt'!$A$18:$A$160=W71)/('Project SqFt'!$B$18:$B$160=X71),'Project SqFt'!$D$18:$D$160),LOOKUP(2,1/('Project SqFt'!$H$18:$H$160=W71)/('Project SqFt'!$I$18:$I$160=X71),'Project SqFt'!$L$18:$L$160)),LOOKUP(2,1/('Project SqFt'!$P$18:$P$160=W71)/('Project SqFt'!$Q$18:$Q$160=X71),'Project SqFt'!$T$18:$T$160))="","",IFERROR(_xlfn.IFNA(LOOKUP(2,1/('Project SqFt'!$A$18:$A$160=W71)/('Project SqFt'!$B$18:$B$160=X71),'Project SqFt'!$D$18:$D$160),LOOKUP(2,1/('Project SqFt'!$H$18:$H$160=W71)/('Project SqFt'!$I$18:$I$160=X71),'Project SqFt'!$L$18:$L$160)),LOOKUP(2,1/('Project SqFt'!$P$18:$P$160=W71)/('Project SqFt'!$Q$18:$Q$160=X71),'Project SqFt'!$T$18:$T$160))),"")</f>
        <v/>
      </c>
    </row>
    <row r="72" spans="1:27" ht="15" customHeight="1" x14ac:dyDescent="0.25">
      <c r="A72" s="73"/>
      <c r="B72" s="89"/>
      <c r="C72" s="561"/>
      <c r="D72" s="874"/>
      <c r="E72" s="875"/>
      <c r="F72" s="562"/>
      <c r="H72" s="50"/>
      <c r="I72" s="684"/>
      <c r="J72" s="684"/>
      <c r="K72" s="561"/>
      <c r="L72" s="89"/>
      <c r="M72" s="864"/>
      <c r="N72" s="865"/>
      <c r="P72" s="50"/>
      <c r="Q72" s="89"/>
      <c r="R72" s="860"/>
      <c r="S72" s="861"/>
      <c r="T72" s="89"/>
      <c r="U72" s="562"/>
      <c r="W72" s="29"/>
      <c r="X72" s="29"/>
      <c r="Y72" s="859" t="str" cm="1">
        <f t="array" ref="Y72">IFERROR(IF(IFERROR(_xlfn.IFNA(LOOKUP(2,1/('Project SqFt'!$A$18:$A$160=W72)/('Project SqFt'!$B$18:$B$160=X72),'Project SqFt'!$F$18:$F$160),LOOKUP(2,1/('Project SqFt'!$H$18:$H$160=W72)/('Project SqFt'!$I$18:$I$160=X72),'Project SqFt'!$M$18:$M$160)),LOOKUP(2,1/('Project SqFt'!$P$18:$P$160=W72)/('Project SqFt'!$Q$18:$Q$160=X72),'Project SqFt'!$U$18:$U$160))="","",IFERROR(_xlfn.IFNA(LOOKUP(2,1/('Project SqFt'!$A$18:$A$160=W72)/('Project SqFt'!$B$18:$B$160=X72),'Project SqFt'!$F$18:$F$160),LOOKUP(2,1/('Project SqFt'!$H$18:$H$160=W72)/('Project SqFt'!$I$18:$I$160=X72),'Project SqFt'!$M$18:$M$160)),LOOKUP(2,1/('Project SqFt'!$P$18:$P$160=W72)/('Project SqFt'!$Q$18:$Q$160=X72),'Project SqFt'!$U$18:$U$160))),"")</f>
        <v/>
      </c>
      <c r="Z72" s="725"/>
      <c r="AA72" s="194" t="str" cm="1">
        <f t="array" ref="AA72">IFERROR(IF(IFERROR(_xlfn.IFNA(LOOKUP(2,1/('Project SqFt'!$A$18:$A$160=W72)/('Project SqFt'!$B$18:$B$160=X72),'Project SqFt'!$D$18:$D$160),LOOKUP(2,1/('Project SqFt'!$H$18:$H$160=W72)/('Project SqFt'!$I$18:$I$160=X72),'Project SqFt'!$L$18:$L$160)),LOOKUP(2,1/('Project SqFt'!$P$18:$P$160=W72)/('Project SqFt'!$Q$18:$Q$160=X72),'Project SqFt'!$T$18:$T$160))="","",IFERROR(_xlfn.IFNA(LOOKUP(2,1/('Project SqFt'!$A$18:$A$160=W72)/('Project SqFt'!$B$18:$B$160=X72),'Project SqFt'!$D$18:$D$160),LOOKUP(2,1/('Project SqFt'!$H$18:$H$160=W72)/('Project SqFt'!$I$18:$I$160=X72),'Project SqFt'!$L$18:$L$160)),LOOKUP(2,1/('Project SqFt'!$P$18:$P$160=W72)/('Project SqFt'!$Q$18:$Q$160=X72),'Project SqFt'!$T$18:$T$160))),"")</f>
        <v/>
      </c>
    </row>
    <row r="73" spans="1:27" ht="15" customHeight="1" x14ac:dyDescent="0.25">
      <c r="A73" s="50"/>
      <c r="B73" s="89"/>
      <c r="C73" s="561"/>
      <c r="D73" s="874"/>
      <c r="E73" s="875"/>
      <c r="F73" s="562"/>
      <c r="H73" s="50"/>
      <c r="I73" s="684"/>
      <c r="J73" s="684"/>
      <c r="K73" s="561"/>
      <c r="L73" s="89"/>
      <c r="M73" s="864"/>
      <c r="N73" s="865"/>
      <c r="P73" s="50"/>
      <c r="Q73" s="89"/>
      <c r="R73" s="860"/>
      <c r="S73" s="861"/>
      <c r="T73" s="89"/>
      <c r="U73" s="562"/>
      <c r="W73" s="29"/>
      <c r="X73" s="29"/>
      <c r="Y73" s="859" t="str" cm="1">
        <f t="array" ref="Y73">IFERROR(IF(IFERROR(_xlfn.IFNA(LOOKUP(2,1/('Project SqFt'!$A$18:$A$160=W73)/('Project SqFt'!$B$18:$B$160=X73),'Project SqFt'!$F$18:$F$160),LOOKUP(2,1/('Project SqFt'!$H$18:$H$160=W73)/('Project SqFt'!$I$18:$I$160=X73),'Project SqFt'!$M$18:$M$160)),LOOKUP(2,1/('Project SqFt'!$P$18:$P$160=W73)/('Project SqFt'!$Q$18:$Q$160=X73),'Project SqFt'!$U$18:$U$160))="","",IFERROR(_xlfn.IFNA(LOOKUP(2,1/('Project SqFt'!$A$18:$A$160=W73)/('Project SqFt'!$B$18:$B$160=X73),'Project SqFt'!$F$18:$F$160),LOOKUP(2,1/('Project SqFt'!$H$18:$H$160=W73)/('Project SqFt'!$I$18:$I$160=X73),'Project SqFt'!$M$18:$M$160)),LOOKUP(2,1/('Project SqFt'!$P$18:$P$160=W73)/('Project SqFt'!$Q$18:$Q$160=X73),'Project SqFt'!$U$18:$U$160))),"")</f>
        <v/>
      </c>
      <c r="Z73" s="725"/>
      <c r="AA73" s="194" t="str" cm="1">
        <f t="array" ref="AA73">IFERROR(IF(IFERROR(_xlfn.IFNA(LOOKUP(2,1/('Project SqFt'!$A$18:$A$160=W73)/('Project SqFt'!$B$18:$B$160=X73),'Project SqFt'!$D$18:$D$160),LOOKUP(2,1/('Project SqFt'!$H$18:$H$160=W73)/('Project SqFt'!$I$18:$I$160=X73),'Project SqFt'!$L$18:$L$160)),LOOKUP(2,1/('Project SqFt'!$P$18:$P$160=W73)/('Project SqFt'!$Q$18:$Q$160=X73),'Project SqFt'!$T$18:$T$160))="","",IFERROR(_xlfn.IFNA(LOOKUP(2,1/('Project SqFt'!$A$18:$A$160=W73)/('Project SqFt'!$B$18:$B$160=X73),'Project SqFt'!$D$18:$D$160),LOOKUP(2,1/('Project SqFt'!$H$18:$H$160=W73)/('Project SqFt'!$I$18:$I$160=X73),'Project SqFt'!$L$18:$L$160)),LOOKUP(2,1/('Project SqFt'!$P$18:$P$160=W73)/('Project SqFt'!$Q$18:$Q$160=X73),'Project SqFt'!$T$18:$T$160))),"")</f>
        <v/>
      </c>
    </row>
    <row r="74" spans="1:27" ht="15" customHeight="1" x14ac:dyDescent="0.25">
      <c r="A74" s="73"/>
      <c r="B74" s="89"/>
      <c r="C74" s="561"/>
      <c r="D74" s="874"/>
      <c r="E74" s="875"/>
      <c r="F74" s="562"/>
      <c r="H74" s="50"/>
      <c r="I74" s="684"/>
      <c r="J74" s="684"/>
      <c r="K74" s="561"/>
      <c r="L74" s="89"/>
      <c r="M74" s="864"/>
      <c r="N74" s="865"/>
      <c r="P74" s="50"/>
      <c r="Q74" s="89"/>
      <c r="R74" s="860"/>
      <c r="S74" s="861"/>
      <c r="T74" s="89"/>
      <c r="U74" s="562"/>
      <c r="W74" s="29"/>
      <c r="X74" s="29"/>
      <c r="Y74" s="859" t="str" cm="1">
        <f t="array" ref="Y74">IFERROR(IF(IFERROR(_xlfn.IFNA(LOOKUP(2,1/('Project SqFt'!$A$18:$A$160=W74)/('Project SqFt'!$B$18:$B$160=X74),'Project SqFt'!$F$18:$F$160),LOOKUP(2,1/('Project SqFt'!$H$18:$H$160=W74)/('Project SqFt'!$I$18:$I$160=X74),'Project SqFt'!$M$18:$M$160)),LOOKUP(2,1/('Project SqFt'!$P$18:$P$160=W74)/('Project SqFt'!$Q$18:$Q$160=X74),'Project SqFt'!$U$18:$U$160))="","",IFERROR(_xlfn.IFNA(LOOKUP(2,1/('Project SqFt'!$A$18:$A$160=W74)/('Project SqFt'!$B$18:$B$160=X74),'Project SqFt'!$F$18:$F$160),LOOKUP(2,1/('Project SqFt'!$H$18:$H$160=W74)/('Project SqFt'!$I$18:$I$160=X74),'Project SqFt'!$M$18:$M$160)),LOOKUP(2,1/('Project SqFt'!$P$18:$P$160=W74)/('Project SqFt'!$Q$18:$Q$160=X74),'Project SqFt'!$U$18:$U$160))),"")</f>
        <v/>
      </c>
      <c r="Z74" s="725"/>
      <c r="AA74" s="194" t="str" cm="1">
        <f t="array" ref="AA74">IFERROR(IF(IFERROR(_xlfn.IFNA(LOOKUP(2,1/('Project SqFt'!$A$18:$A$160=W74)/('Project SqFt'!$B$18:$B$160=X74),'Project SqFt'!$D$18:$D$160),LOOKUP(2,1/('Project SqFt'!$H$18:$H$160=W74)/('Project SqFt'!$I$18:$I$160=X74),'Project SqFt'!$L$18:$L$160)),LOOKUP(2,1/('Project SqFt'!$P$18:$P$160=W74)/('Project SqFt'!$Q$18:$Q$160=X74),'Project SqFt'!$T$18:$T$160))="","",IFERROR(_xlfn.IFNA(LOOKUP(2,1/('Project SqFt'!$A$18:$A$160=W74)/('Project SqFt'!$B$18:$B$160=X74),'Project SqFt'!$D$18:$D$160),LOOKUP(2,1/('Project SqFt'!$H$18:$H$160=W74)/('Project SqFt'!$I$18:$I$160=X74),'Project SqFt'!$L$18:$L$160)),LOOKUP(2,1/('Project SqFt'!$P$18:$P$160=W74)/('Project SqFt'!$Q$18:$Q$160=X74),'Project SqFt'!$T$18:$T$160))),"")</f>
        <v/>
      </c>
    </row>
    <row r="75" spans="1:27" ht="15" customHeight="1" x14ac:dyDescent="0.25">
      <c r="A75" s="50"/>
      <c r="B75" s="89"/>
      <c r="C75" s="561"/>
      <c r="D75" s="874"/>
      <c r="E75" s="875"/>
      <c r="F75" s="562"/>
      <c r="H75" s="50"/>
      <c r="I75" s="684"/>
      <c r="J75" s="684"/>
      <c r="K75" s="561"/>
      <c r="L75" s="89"/>
      <c r="M75" s="864"/>
      <c r="N75" s="865"/>
      <c r="P75" s="50"/>
      <c r="Q75" s="89"/>
      <c r="R75" s="860"/>
      <c r="S75" s="861"/>
      <c r="T75" s="89"/>
      <c r="U75" s="562"/>
      <c r="W75" s="29"/>
      <c r="X75" s="29"/>
      <c r="Y75" s="859" t="str" cm="1">
        <f t="array" ref="Y75">IFERROR(IF(IFERROR(_xlfn.IFNA(LOOKUP(2,1/('Project SqFt'!$A$18:$A$160=W75)/('Project SqFt'!$B$18:$B$160=X75),'Project SqFt'!$F$18:$F$160),LOOKUP(2,1/('Project SqFt'!$H$18:$H$160=W75)/('Project SqFt'!$I$18:$I$160=X75),'Project SqFt'!$M$18:$M$160)),LOOKUP(2,1/('Project SqFt'!$P$18:$P$160=W75)/('Project SqFt'!$Q$18:$Q$160=X75),'Project SqFt'!$U$18:$U$160))="","",IFERROR(_xlfn.IFNA(LOOKUP(2,1/('Project SqFt'!$A$18:$A$160=W75)/('Project SqFt'!$B$18:$B$160=X75),'Project SqFt'!$F$18:$F$160),LOOKUP(2,1/('Project SqFt'!$H$18:$H$160=W75)/('Project SqFt'!$I$18:$I$160=X75),'Project SqFt'!$M$18:$M$160)),LOOKUP(2,1/('Project SqFt'!$P$18:$P$160=W75)/('Project SqFt'!$Q$18:$Q$160=X75),'Project SqFt'!$U$18:$U$160))),"")</f>
        <v/>
      </c>
      <c r="Z75" s="725"/>
      <c r="AA75" s="194" t="str" cm="1">
        <f t="array" ref="AA75">IFERROR(IF(IFERROR(_xlfn.IFNA(LOOKUP(2,1/('Project SqFt'!$A$18:$A$160=W75)/('Project SqFt'!$B$18:$B$160=X75),'Project SqFt'!$D$18:$D$160),LOOKUP(2,1/('Project SqFt'!$H$18:$H$160=W75)/('Project SqFt'!$I$18:$I$160=X75),'Project SqFt'!$L$18:$L$160)),LOOKUP(2,1/('Project SqFt'!$P$18:$P$160=W75)/('Project SqFt'!$Q$18:$Q$160=X75),'Project SqFt'!$T$18:$T$160))="","",IFERROR(_xlfn.IFNA(LOOKUP(2,1/('Project SqFt'!$A$18:$A$160=W75)/('Project SqFt'!$B$18:$B$160=X75),'Project SqFt'!$D$18:$D$160),LOOKUP(2,1/('Project SqFt'!$H$18:$H$160=W75)/('Project SqFt'!$I$18:$I$160=X75),'Project SqFt'!$L$18:$L$160)),LOOKUP(2,1/('Project SqFt'!$P$18:$P$160=W75)/('Project SqFt'!$Q$18:$Q$160=X75),'Project SqFt'!$T$18:$T$160))),"")</f>
        <v/>
      </c>
    </row>
    <row r="76" spans="1:27" ht="15" customHeight="1" x14ac:dyDescent="0.25">
      <c r="A76" s="73"/>
      <c r="B76" s="89"/>
      <c r="C76" s="561"/>
      <c r="D76" s="874"/>
      <c r="E76" s="875"/>
      <c r="F76" s="562"/>
      <c r="H76" s="50"/>
      <c r="I76" s="684"/>
      <c r="J76" s="684"/>
      <c r="K76" s="561"/>
      <c r="L76" s="89"/>
      <c r="M76" s="864"/>
      <c r="N76" s="865"/>
      <c r="P76" s="50"/>
      <c r="Q76" s="89"/>
      <c r="R76" s="860"/>
      <c r="S76" s="861"/>
      <c r="T76" s="89"/>
      <c r="U76" s="562"/>
      <c r="W76" s="29"/>
      <c r="X76" s="29"/>
      <c r="Y76" s="859" t="str" cm="1">
        <f t="array" ref="Y76">IFERROR(IF(IFERROR(_xlfn.IFNA(LOOKUP(2,1/('Project SqFt'!$A$18:$A$160=W76)/('Project SqFt'!$B$18:$B$160=X76),'Project SqFt'!$F$18:$F$160),LOOKUP(2,1/('Project SqFt'!$H$18:$H$160=W76)/('Project SqFt'!$I$18:$I$160=X76),'Project SqFt'!$M$18:$M$160)),LOOKUP(2,1/('Project SqFt'!$P$18:$P$160=W76)/('Project SqFt'!$Q$18:$Q$160=X76),'Project SqFt'!$U$18:$U$160))="","",IFERROR(_xlfn.IFNA(LOOKUP(2,1/('Project SqFt'!$A$18:$A$160=W76)/('Project SqFt'!$B$18:$B$160=X76),'Project SqFt'!$F$18:$F$160),LOOKUP(2,1/('Project SqFt'!$H$18:$H$160=W76)/('Project SqFt'!$I$18:$I$160=X76),'Project SqFt'!$M$18:$M$160)),LOOKUP(2,1/('Project SqFt'!$P$18:$P$160=W76)/('Project SqFt'!$Q$18:$Q$160=X76),'Project SqFt'!$U$18:$U$160))),"")</f>
        <v/>
      </c>
      <c r="Z76" s="725"/>
      <c r="AA76" s="194" t="str" cm="1">
        <f t="array" ref="AA76">IFERROR(IF(IFERROR(_xlfn.IFNA(LOOKUP(2,1/('Project SqFt'!$A$18:$A$160=W76)/('Project SqFt'!$B$18:$B$160=X76),'Project SqFt'!$D$18:$D$160),LOOKUP(2,1/('Project SqFt'!$H$18:$H$160=W76)/('Project SqFt'!$I$18:$I$160=X76),'Project SqFt'!$L$18:$L$160)),LOOKUP(2,1/('Project SqFt'!$P$18:$P$160=W76)/('Project SqFt'!$Q$18:$Q$160=X76),'Project SqFt'!$T$18:$T$160))="","",IFERROR(_xlfn.IFNA(LOOKUP(2,1/('Project SqFt'!$A$18:$A$160=W76)/('Project SqFt'!$B$18:$B$160=X76),'Project SqFt'!$D$18:$D$160),LOOKUP(2,1/('Project SqFt'!$H$18:$H$160=W76)/('Project SqFt'!$I$18:$I$160=X76),'Project SqFt'!$L$18:$L$160)),LOOKUP(2,1/('Project SqFt'!$P$18:$P$160=W76)/('Project SqFt'!$Q$18:$Q$160=X76),'Project SqFt'!$T$18:$T$160))),"")</f>
        <v/>
      </c>
    </row>
    <row r="77" spans="1:27" ht="15" customHeight="1" x14ac:dyDescent="0.25">
      <c r="A77" s="50"/>
      <c r="B77" s="89"/>
      <c r="C77" s="561"/>
      <c r="D77" s="874"/>
      <c r="E77" s="875"/>
      <c r="F77" s="562"/>
      <c r="H77" s="50"/>
      <c r="I77" s="684"/>
      <c r="J77" s="684"/>
      <c r="K77" s="561"/>
      <c r="L77" s="89"/>
      <c r="M77" s="864"/>
      <c r="N77" s="865"/>
      <c r="P77" s="50"/>
      <c r="Q77" s="89"/>
      <c r="R77" s="860"/>
      <c r="S77" s="861"/>
      <c r="T77" s="89"/>
      <c r="U77" s="562"/>
      <c r="W77" s="29"/>
      <c r="X77" s="29"/>
      <c r="Y77" s="859" t="str" cm="1">
        <f t="array" ref="Y77">IFERROR(IF(IFERROR(_xlfn.IFNA(LOOKUP(2,1/('Project SqFt'!$A$18:$A$160=W77)/('Project SqFt'!$B$18:$B$160=X77),'Project SqFt'!$F$18:$F$160),LOOKUP(2,1/('Project SqFt'!$H$18:$H$160=W77)/('Project SqFt'!$I$18:$I$160=X77),'Project SqFt'!$M$18:$M$160)),LOOKUP(2,1/('Project SqFt'!$P$18:$P$160=W77)/('Project SqFt'!$Q$18:$Q$160=X77),'Project SqFt'!$U$18:$U$160))="","",IFERROR(_xlfn.IFNA(LOOKUP(2,1/('Project SqFt'!$A$18:$A$160=W77)/('Project SqFt'!$B$18:$B$160=X77),'Project SqFt'!$F$18:$F$160),LOOKUP(2,1/('Project SqFt'!$H$18:$H$160=W77)/('Project SqFt'!$I$18:$I$160=X77),'Project SqFt'!$M$18:$M$160)),LOOKUP(2,1/('Project SqFt'!$P$18:$P$160=W77)/('Project SqFt'!$Q$18:$Q$160=X77),'Project SqFt'!$U$18:$U$160))),"")</f>
        <v/>
      </c>
      <c r="Z77" s="725"/>
      <c r="AA77" s="194" t="str" cm="1">
        <f t="array" ref="AA77">IFERROR(IF(IFERROR(_xlfn.IFNA(LOOKUP(2,1/('Project SqFt'!$A$18:$A$160=W77)/('Project SqFt'!$B$18:$B$160=X77),'Project SqFt'!$D$18:$D$160),LOOKUP(2,1/('Project SqFt'!$H$18:$H$160=W77)/('Project SqFt'!$I$18:$I$160=X77),'Project SqFt'!$L$18:$L$160)),LOOKUP(2,1/('Project SqFt'!$P$18:$P$160=W77)/('Project SqFt'!$Q$18:$Q$160=X77),'Project SqFt'!$T$18:$T$160))="","",IFERROR(_xlfn.IFNA(LOOKUP(2,1/('Project SqFt'!$A$18:$A$160=W77)/('Project SqFt'!$B$18:$B$160=X77),'Project SqFt'!$D$18:$D$160),LOOKUP(2,1/('Project SqFt'!$H$18:$H$160=W77)/('Project SqFt'!$I$18:$I$160=X77),'Project SqFt'!$L$18:$L$160)),LOOKUP(2,1/('Project SqFt'!$P$18:$P$160=W77)/('Project SqFt'!$Q$18:$Q$160=X77),'Project SqFt'!$T$18:$T$160))),"")</f>
        <v/>
      </c>
    </row>
    <row r="78" spans="1:27" ht="15" customHeight="1" x14ac:dyDescent="0.25">
      <c r="A78" s="73"/>
      <c r="B78" s="89"/>
      <c r="C78" s="561"/>
      <c r="D78" s="874"/>
      <c r="E78" s="875"/>
      <c r="F78" s="562"/>
      <c r="H78" s="50"/>
      <c r="I78" s="684"/>
      <c r="J78" s="684"/>
      <c r="K78" s="561"/>
      <c r="L78" s="89"/>
      <c r="M78" s="864"/>
      <c r="N78" s="865"/>
      <c r="P78" s="50"/>
      <c r="Q78" s="89"/>
      <c r="R78" s="860"/>
      <c r="S78" s="861"/>
      <c r="T78" s="89"/>
      <c r="U78" s="562"/>
      <c r="V78" s="289"/>
      <c r="W78" s="29"/>
      <c r="X78" s="29"/>
      <c r="Y78" s="859" t="str" cm="1">
        <f t="array" ref="Y78">IFERROR(IF(IFERROR(_xlfn.IFNA(LOOKUP(2,1/('Project SqFt'!$A$18:$A$160=W78)/('Project SqFt'!$B$18:$B$160=X78),'Project SqFt'!$F$18:$F$160),LOOKUP(2,1/('Project SqFt'!$H$18:$H$160=W78)/('Project SqFt'!$I$18:$I$160=X78),'Project SqFt'!$M$18:$M$160)),LOOKUP(2,1/('Project SqFt'!$P$18:$P$160=W78)/('Project SqFt'!$Q$18:$Q$160=X78),'Project SqFt'!$U$18:$U$160))="","",IFERROR(_xlfn.IFNA(LOOKUP(2,1/('Project SqFt'!$A$18:$A$160=W78)/('Project SqFt'!$B$18:$B$160=X78),'Project SqFt'!$F$18:$F$160),LOOKUP(2,1/('Project SqFt'!$H$18:$H$160=W78)/('Project SqFt'!$I$18:$I$160=X78),'Project SqFt'!$M$18:$M$160)),LOOKUP(2,1/('Project SqFt'!$P$18:$P$160=W78)/('Project SqFt'!$Q$18:$Q$160=X78),'Project SqFt'!$U$18:$U$160))),"")</f>
        <v/>
      </c>
      <c r="Z78" s="725"/>
      <c r="AA78" s="194" t="str" cm="1">
        <f t="array" ref="AA78">IFERROR(IF(IFERROR(_xlfn.IFNA(LOOKUP(2,1/('Project SqFt'!$A$18:$A$160=W78)/('Project SqFt'!$B$18:$B$160=X78),'Project SqFt'!$D$18:$D$160),LOOKUP(2,1/('Project SqFt'!$H$18:$H$160=W78)/('Project SqFt'!$I$18:$I$160=X78),'Project SqFt'!$L$18:$L$160)),LOOKUP(2,1/('Project SqFt'!$P$18:$P$160=W78)/('Project SqFt'!$Q$18:$Q$160=X78),'Project SqFt'!$T$18:$T$160))="","",IFERROR(_xlfn.IFNA(LOOKUP(2,1/('Project SqFt'!$A$18:$A$160=W78)/('Project SqFt'!$B$18:$B$160=X78),'Project SqFt'!$D$18:$D$160),LOOKUP(2,1/('Project SqFt'!$H$18:$H$160=W78)/('Project SqFt'!$I$18:$I$160=X78),'Project SqFt'!$L$18:$L$160)),LOOKUP(2,1/('Project SqFt'!$P$18:$P$160=W78)/('Project SqFt'!$Q$18:$Q$160=X78),'Project SqFt'!$T$18:$T$160))),"")</f>
        <v/>
      </c>
    </row>
    <row r="79" spans="1:27" ht="15" customHeight="1" x14ac:dyDescent="0.25">
      <c r="A79" s="50"/>
      <c r="B79" s="89"/>
      <c r="C79" s="561"/>
      <c r="D79" s="874"/>
      <c r="E79" s="875"/>
      <c r="F79" s="562"/>
      <c r="H79" s="50"/>
      <c r="I79" s="684"/>
      <c r="J79" s="684"/>
      <c r="K79" s="561"/>
      <c r="L79" s="89"/>
      <c r="M79" s="864"/>
      <c r="N79" s="865"/>
      <c r="P79" s="50"/>
      <c r="Q79" s="89"/>
      <c r="R79" s="860"/>
      <c r="S79" s="861"/>
      <c r="T79" s="89"/>
      <c r="U79" s="562"/>
      <c r="V79" s="126"/>
      <c r="W79" s="29"/>
      <c r="X79" s="29"/>
      <c r="Y79" s="859" t="str" cm="1">
        <f t="array" ref="Y79">IFERROR(IF(IFERROR(_xlfn.IFNA(LOOKUP(2,1/('Project SqFt'!$A$18:$A$160=W79)/('Project SqFt'!$B$18:$B$160=X79),'Project SqFt'!$F$18:$F$160),LOOKUP(2,1/('Project SqFt'!$H$18:$H$160=W79)/('Project SqFt'!$I$18:$I$160=X79),'Project SqFt'!$M$18:$M$160)),LOOKUP(2,1/('Project SqFt'!$P$18:$P$160=W79)/('Project SqFt'!$Q$18:$Q$160=X79),'Project SqFt'!$U$18:$U$160))="","",IFERROR(_xlfn.IFNA(LOOKUP(2,1/('Project SqFt'!$A$18:$A$160=W79)/('Project SqFt'!$B$18:$B$160=X79),'Project SqFt'!$F$18:$F$160),LOOKUP(2,1/('Project SqFt'!$H$18:$H$160=W79)/('Project SqFt'!$I$18:$I$160=X79),'Project SqFt'!$M$18:$M$160)),LOOKUP(2,1/('Project SqFt'!$P$18:$P$160=W79)/('Project SqFt'!$Q$18:$Q$160=X79),'Project SqFt'!$U$18:$U$160))),"")</f>
        <v/>
      </c>
      <c r="Z79" s="725"/>
      <c r="AA79" s="194" t="str" cm="1">
        <f t="array" ref="AA79">IFERROR(IF(IFERROR(_xlfn.IFNA(LOOKUP(2,1/('Project SqFt'!$A$18:$A$160=W79)/('Project SqFt'!$B$18:$B$160=X79),'Project SqFt'!$D$18:$D$160),LOOKUP(2,1/('Project SqFt'!$H$18:$H$160=W79)/('Project SqFt'!$I$18:$I$160=X79),'Project SqFt'!$L$18:$L$160)),LOOKUP(2,1/('Project SqFt'!$P$18:$P$160=W79)/('Project SqFt'!$Q$18:$Q$160=X79),'Project SqFt'!$T$18:$T$160))="","",IFERROR(_xlfn.IFNA(LOOKUP(2,1/('Project SqFt'!$A$18:$A$160=W79)/('Project SqFt'!$B$18:$B$160=X79),'Project SqFt'!$D$18:$D$160),LOOKUP(2,1/('Project SqFt'!$H$18:$H$160=W79)/('Project SqFt'!$I$18:$I$160=X79),'Project SqFt'!$L$18:$L$160)),LOOKUP(2,1/('Project SqFt'!$P$18:$P$160=W79)/('Project SqFt'!$Q$18:$Q$160=X79),'Project SqFt'!$T$18:$T$160))),"")</f>
        <v/>
      </c>
    </row>
    <row r="80" spans="1:27" ht="15" customHeight="1" x14ac:dyDescent="0.25">
      <c r="A80" s="73"/>
      <c r="B80" s="89"/>
      <c r="C80" s="561"/>
      <c r="D80" s="874"/>
      <c r="E80" s="875"/>
      <c r="F80" s="562"/>
      <c r="H80" s="50"/>
      <c r="I80" s="684"/>
      <c r="J80" s="684"/>
      <c r="K80" s="561"/>
      <c r="L80" s="89"/>
      <c r="M80" s="864"/>
      <c r="N80" s="865"/>
      <c r="P80" s="50"/>
      <c r="Q80" s="89"/>
      <c r="R80" s="860"/>
      <c r="S80" s="861"/>
      <c r="T80" s="89"/>
      <c r="U80" s="562"/>
      <c r="V80" s="126"/>
      <c r="W80" s="29"/>
      <c r="X80" s="29"/>
      <c r="Y80" s="859" t="str" cm="1">
        <f t="array" ref="Y80">IFERROR(IF(IFERROR(_xlfn.IFNA(LOOKUP(2,1/('Project SqFt'!$A$18:$A$160=W80)/('Project SqFt'!$B$18:$B$160=X80),'Project SqFt'!$F$18:$F$160),LOOKUP(2,1/('Project SqFt'!$H$18:$H$160=W80)/('Project SqFt'!$I$18:$I$160=X80),'Project SqFt'!$M$18:$M$160)),LOOKUP(2,1/('Project SqFt'!$P$18:$P$160=W80)/('Project SqFt'!$Q$18:$Q$160=X80),'Project SqFt'!$U$18:$U$160))="","",IFERROR(_xlfn.IFNA(LOOKUP(2,1/('Project SqFt'!$A$18:$A$160=W80)/('Project SqFt'!$B$18:$B$160=X80),'Project SqFt'!$F$18:$F$160),LOOKUP(2,1/('Project SqFt'!$H$18:$H$160=W80)/('Project SqFt'!$I$18:$I$160=X80),'Project SqFt'!$M$18:$M$160)),LOOKUP(2,1/('Project SqFt'!$P$18:$P$160=W80)/('Project SqFt'!$Q$18:$Q$160=X80),'Project SqFt'!$U$18:$U$160))),"")</f>
        <v/>
      </c>
      <c r="Z80" s="725"/>
      <c r="AA80" s="194" t="str" cm="1">
        <f t="array" ref="AA80">IFERROR(IF(IFERROR(_xlfn.IFNA(LOOKUP(2,1/('Project SqFt'!$A$18:$A$160=W80)/('Project SqFt'!$B$18:$B$160=X80),'Project SqFt'!$D$18:$D$160),LOOKUP(2,1/('Project SqFt'!$H$18:$H$160=W80)/('Project SqFt'!$I$18:$I$160=X80),'Project SqFt'!$L$18:$L$160)),LOOKUP(2,1/('Project SqFt'!$P$18:$P$160=W80)/('Project SqFt'!$Q$18:$Q$160=X80),'Project SqFt'!$T$18:$T$160))="","",IFERROR(_xlfn.IFNA(LOOKUP(2,1/('Project SqFt'!$A$18:$A$160=W80)/('Project SqFt'!$B$18:$B$160=X80),'Project SqFt'!$D$18:$D$160),LOOKUP(2,1/('Project SqFt'!$H$18:$H$160=W80)/('Project SqFt'!$I$18:$I$160=X80),'Project SqFt'!$L$18:$L$160)),LOOKUP(2,1/('Project SqFt'!$P$18:$P$160=W80)/('Project SqFt'!$Q$18:$Q$160=X80),'Project SqFt'!$T$18:$T$160))),"")</f>
        <v/>
      </c>
    </row>
    <row r="81" spans="1:27" ht="15" customHeight="1" x14ac:dyDescent="0.25">
      <c r="A81" s="50"/>
      <c r="B81" s="89"/>
      <c r="C81" s="561"/>
      <c r="D81" s="874"/>
      <c r="E81" s="875"/>
      <c r="F81" s="562"/>
      <c r="H81" s="50"/>
      <c r="I81" s="684"/>
      <c r="J81" s="684"/>
      <c r="K81" s="561"/>
      <c r="L81" s="89"/>
      <c r="M81" s="864"/>
      <c r="N81" s="865"/>
      <c r="P81" s="50"/>
      <c r="Q81" s="89"/>
      <c r="R81" s="860"/>
      <c r="S81" s="861"/>
      <c r="T81" s="89"/>
      <c r="U81" s="562"/>
      <c r="V81" s="126"/>
      <c r="W81" s="29"/>
      <c r="X81" s="29"/>
      <c r="Y81" s="859" t="str" cm="1">
        <f t="array" ref="Y81">IFERROR(IF(IFERROR(_xlfn.IFNA(LOOKUP(2,1/('Project SqFt'!$A$18:$A$160=W81)/('Project SqFt'!$B$18:$B$160=X81),'Project SqFt'!$F$18:$F$160),LOOKUP(2,1/('Project SqFt'!$H$18:$H$160=W81)/('Project SqFt'!$I$18:$I$160=X81),'Project SqFt'!$M$18:$M$160)),LOOKUP(2,1/('Project SqFt'!$P$18:$P$160=W81)/('Project SqFt'!$Q$18:$Q$160=X81),'Project SqFt'!$U$18:$U$160))="","",IFERROR(_xlfn.IFNA(LOOKUP(2,1/('Project SqFt'!$A$18:$A$160=W81)/('Project SqFt'!$B$18:$B$160=X81),'Project SqFt'!$F$18:$F$160),LOOKUP(2,1/('Project SqFt'!$H$18:$H$160=W81)/('Project SqFt'!$I$18:$I$160=X81),'Project SqFt'!$M$18:$M$160)),LOOKUP(2,1/('Project SqFt'!$P$18:$P$160=W81)/('Project SqFt'!$Q$18:$Q$160=X81),'Project SqFt'!$U$18:$U$160))),"")</f>
        <v/>
      </c>
      <c r="Z81" s="725"/>
      <c r="AA81" s="194" t="str" cm="1">
        <f t="array" ref="AA81">IFERROR(IF(IFERROR(_xlfn.IFNA(LOOKUP(2,1/('Project SqFt'!$A$18:$A$160=W81)/('Project SqFt'!$B$18:$B$160=X81),'Project SqFt'!$D$18:$D$160),LOOKUP(2,1/('Project SqFt'!$H$18:$H$160=W81)/('Project SqFt'!$I$18:$I$160=X81),'Project SqFt'!$L$18:$L$160)),LOOKUP(2,1/('Project SqFt'!$P$18:$P$160=W81)/('Project SqFt'!$Q$18:$Q$160=X81),'Project SqFt'!$T$18:$T$160))="","",IFERROR(_xlfn.IFNA(LOOKUP(2,1/('Project SqFt'!$A$18:$A$160=W81)/('Project SqFt'!$B$18:$B$160=X81),'Project SqFt'!$D$18:$D$160),LOOKUP(2,1/('Project SqFt'!$H$18:$H$160=W81)/('Project SqFt'!$I$18:$I$160=X81),'Project SqFt'!$L$18:$L$160)),LOOKUP(2,1/('Project SqFt'!$P$18:$P$160=W81)/('Project SqFt'!$Q$18:$Q$160=X81),'Project SqFt'!$T$18:$T$160))),"")</f>
        <v/>
      </c>
    </row>
    <row r="82" spans="1:27" ht="15" customHeight="1" x14ac:dyDescent="0.25">
      <c r="A82" s="73"/>
      <c r="B82" s="89"/>
      <c r="C82" s="561"/>
      <c r="D82" s="874"/>
      <c r="E82" s="875"/>
      <c r="F82" s="562"/>
      <c r="H82" s="50"/>
      <c r="I82" s="684"/>
      <c r="J82" s="684"/>
      <c r="K82" s="561"/>
      <c r="L82" s="89"/>
      <c r="M82" s="864"/>
      <c r="N82" s="865"/>
      <c r="P82" s="50"/>
      <c r="Q82" s="89"/>
      <c r="R82" s="860"/>
      <c r="S82" s="861"/>
      <c r="T82" s="89"/>
      <c r="U82" s="562"/>
      <c r="V82" s="126"/>
      <c r="W82" s="29"/>
      <c r="X82" s="29"/>
      <c r="Y82" s="859" t="str" cm="1">
        <f t="array" ref="Y82">IFERROR(IF(IFERROR(_xlfn.IFNA(LOOKUP(2,1/('Project SqFt'!$A$18:$A$160=W82)/('Project SqFt'!$B$18:$B$160=X82),'Project SqFt'!$F$18:$F$160),LOOKUP(2,1/('Project SqFt'!$H$18:$H$160=W82)/('Project SqFt'!$I$18:$I$160=X82),'Project SqFt'!$M$18:$M$160)),LOOKUP(2,1/('Project SqFt'!$P$18:$P$160=W82)/('Project SqFt'!$Q$18:$Q$160=X82),'Project SqFt'!$U$18:$U$160))="","",IFERROR(_xlfn.IFNA(LOOKUP(2,1/('Project SqFt'!$A$18:$A$160=W82)/('Project SqFt'!$B$18:$B$160=X82),'Project SqFt'!$F$18:$F$160),LOOKUP(2,1/('Project SqFt'!$H$18:$H$160=W82)/('Project SqFt'!$I$18:$I$160=X82),'Project SqFt'!$M$18:$M$160)),LOOKUP(2,1/('Project SqFt'!$P$18:$P$160=W82)/('Project SqFt'!$Q$18:$Q$160=X82),'Project SqFt'!$U$18:$U$160))),"")</f>
        <v/>
      </c>
      <c r="Z82" s="725"/>
      <c r="AA82" s="194" t="str" cm="1">
        <f t="array" ref="AA82">IFERROR(IF(IFERROR(_xlfn.IFNA(LOOKUP(2,1/('Project SqFt'!$A$18:$A$160=W82)/('Project SqFt'!$B$18:$B$160=X82),'Project SqFt'!$D$18:$D$160),LOOKUP(2,1/('Project SqFt'!$H$18:$H$160=W82)/('Project SqFt'!$I$18:$I$160=X82),'Project SqFt'!$L$18:$L$160)),LOOKUP(2,1/('Project SqFt'!$P$18:$P$160=W82)/('Project SqFt'!$Q$18:$Q$160=X82),'Project SqFt'!$T$18:$T$160))="","",IFERROR(_xlfn.IFNA(LOOKUP(2,1/('Project SqFt'!$A$18:$A$160=W82)/('Project SqFt'!$B$18:$B$160=X82),'Project SqFt'!$D$18:$D$160),LOOKUP(2,1/('Project SqFt'!$H$18:$H$160=W82)/('Project SqFt'!$I$18:$I$160=X82),'Project SqFt'!$L$18:$L$160)),LOOKUP(2,1/('Project SqFt'!$P$18:$P$160=W82)/('Project SqFt'!$Q$18:$Q$160=X82),'Project SqFt'!$T$18:$T$160))),"")</f>
        <v/>
      </c>
    </row>
    <row r="83" spans="1:27" ht="15" customHeight="1" x14ac:dyDescent="0.25">
      <c r="A83" s="50"/>
      <c r="B83" s="89"/>
      <c r="C83" s="561"/>
      <c r="D83" s="874"/>
      <c r="E83" s="875"/>
      <c r="F83" s="562"/>
      <c r="H83" s="50"/>
      <c r="I83" s="684"/>
      <c r="J83" s="684"/>
      <c r="K83" s="561"/>
      <c r="L83" s="89"/>
      <c r="M83" s="864"/>
      <c r="N83" s="865"/>
      <c r="P83" s="50"/>
      <c r="Q83" s="89"/>
      <c r="R83" s="860"/>
      <c r="S83" s="861"/>
      <c r="T83" s="89"/>
      <c r="U83" s="562"/>
      <c r="V83" s="126"/>
      <c r="W83" s="29"/>
      <c r="X83" s="29"/>
      <c r="Y83" s="859" t="str" cm="1">
        <f t="array" ref="Y83">IFERROR(IF(IFERROR(_xlfn.IFNA(LOOKUP(2,1/('Project SqFt'!$A$18:$A$160=W83)/('Project SqFt'!$B$18:$B$160=X83),'Project SqFt'!$F$18:$F$160),LOOKUP(2,1/('Project SqFt'!$H$18:$H$160=W83)/('Project SqFt'!$I$18:$I$160=X83),'Project SqFt'!$M$18:$M$160)),LOOKUP(2,1/('Project SqFt'!$P$18:$P$160=W83)/('Project SqFt'!$Q$18:$Q$160=X83),'Project SqFt'!$U$18:$U$160))="","",IFERROR(_xlfn.IFNA(LOOKUP(2,1/('Project SqFt'!$A$18:$A$160=W83)/('Project SqFt'!$B$18:$B$160=X83),'Project SqFt'!$F$18:$F$160),LOOKUP(2,1/('Project SqFt'!$H$18:$H$160=W83)/('Project SqFt'!$I$18:$I$160=X83),'Project SqFt'!$M$18:$M$160)),LOOKUP(2,1/('Project SqFt'!$P$18:$P$160=W83)/('Project SqFt'!$Q$18:$Q$160=X83),'Project SqFt'!$U$18:$U$160))),"")</f>
        <v/>
      </c>
      <c r="Z83" s="725"/>
      <c r="AA83" s="194" t="str" cm="1">
        <f t="array" ref="AA83">IFERROR(IF(IFERROR(_xlfn.IFNA(LOOKUP(2,1/('Project SqFt'!$A$18:$A$160=W83)/('Project SqFt'!$B$18:$B$160=X83),'Project SqFt'!$D$18:$D$160),LOOKUP(2,1/('Project SqFt'!$H$18:$H$160=W83)/('Project SqFt'!$I$18:$I$160=X83),'Project SqFt'!$L$18:$L$160)),LOOKUP(2,1/('Project SqFt'!$P$18:$P$160=W83)/('Project SqFt'!$Q$18:$Q$160=X83),'Project SqFt'!$T$18:$T$160))="","",IFERROR(_xlfn.IFNA(LOOKUP(2,1/('Project SqFt'!$A$18:$A$160=W83)/('Project SqFt'!$B$18:$B$160=X83),'Project SqFt'!$D$18:$D$160),LOOKUP(2,1/('Project SqFt'!$H$18:$H$160=W83)/('Project SqFt'!$I$18:$I$160=X83),'Project SqFt'!$L$18:$L$160)),LOOKUP(2,1/('Project SqFt'!$P$18:$P$160=W83)/('Project SqFt'!$Q$18:$Q$160=X83),'Project SqFt'!$T$18:$T$160))),"")</f>
        <v/>
      </c>
    </row>
    <row r="84" spans="1:27" ht="15" customHeight="1" x14ac:dyDescent="0.25">
      <c r="A84" s="73"/>
      <c r="B84" s="89"/>
      <c r="C84" s="561"/>
      <c r="D84" s="874"/>
      <c r="E84" s="875"/>
      <c r="F84" s="562"/>
      <c r="H84" s="50"/>
      <c r="I84" s="684"/>
      <c r="J84" s="684"/>
      <c r="K84" s="561"/>
      <c r="L84" s="89"/>
      <c r="M84" s="864"/>
      <c r="N84" s="865"/>
      <c r="P84" s="50"/>
      <c r="Q84" s="89"/>
      <c r="R84" s="860"/>
      <c r="S84" s="861"/>
      <c r="T84" s="89"/>
      <c r="U84" s="562"/>
      <c r="V84" s="126"/>
      <c r="W84" s="29"/>
      <c r="X84" s="29"/>
      <c r="Y84" s="859" t="str" cm="1">
        <f t="array" ref="Y84">IFERROR(IF(IFERROR(_xlfn.IFNA(LOOKUP(2,1/('Project SqFt'!$A$18:$A$160=W84)/('Project SqFt'!$B$18:$B$160=X84),'Project SqFt'!$F$18:$F$160),LOOKUP(2,1/('Project SqFt'!$H$18:$H$160=W84)/('Project SqFt'!$I$18:$I$160=X84),'Project SqFt'!$M$18:$M$160)),LOOKUP(2,1/('Project SqFt'!$P$18:$P$160=W84)/('Project SqFt'!$Q$18:$Q$160=X84),'Project SqFt'!$U$18:$U$160))="","",IFERROR(_xlfn.IFNA(LOOKUP(2,1/('Project SqFt'!$A$18:$A$160=W84)/('Project SqFt'!$B$18:$B$160=X84),'Project SqFt'!$F$18:$F$160),LOOKUP(2,1/('Project SqFt'!$H$18:$H$160=W84)/('Project SqFt'!$I$18:$I$160=X84),'Project SqFt'!$M$18:$M$160)),LOOKUP(2,1/('Project SqFt'!$P$18:$P$160=W84)/('Project SqFt'!$Q$18:$Q$160=X84),'Project SqFt'!$U$18:$U$160))),"")</f>
        <v/>
      </c>
      <c r="Z84" s="725"/>
      <c r="AA84" s="194" t="str" cm="1">
        <f t="array" ref="AA84">IFERROR(IF(IFERROR(_xlfn.IFNA(LOOKUP(2,1/('Project SqFt'!$A$18:$A$160=W84)/('Project SqFt'!$B$18:$B$160=X84),'Project SqFt'!$D$18:$D$160),LOOKUP(2,1/('Project SqFt'!$H$18:$H$160=W84)/('Project SqFt'!$I$18:$I$160=X84),'Project SqFt'!$L$18:$L$160)),LOOKUP(2,1/('Project SqFt'!$P$18:$P$160=W84)/('Project SqFt'!$Q$18:$Q$160=X84),'Project SqFt'!$T$18:$T$160))="","",IFERROR(_xlfn.IFNA(LOOKUP(2,1/('Project SqFt'!$A$18:$A$160=W84)/('Project SqFt'!$B$18:$B$160=X84),'Project SqFt'!$D$18:$D$160),LOOKUP(2,1/('Project SqFt'!$H$18:$H$160=W84)/('Project SqFt'!$I$18:$I$160=X84),'Project SqFt'!$L$18:$L$160)),LOOKUP(2,1/('Project SqFt'!$P$18:$P$160=W84)/('Project SqFt'!$Q$18:$Q$160=X84),'Project SqFt'!$T$18:$T$160))),"")</f>
        <v/>
      </c>
    </row>
    <row r="85" spans="1:27" ht="15" customHeight="1" x14ac:dyDescent="0.25">
      <c r="A85" s="50"/>
      <c r="B85" s="89"/>
      <c r="C85" s="561"/>
      <c r="D85" s="874"/>
      <c r="E85" s="875"/>
      <c r="F85" s="562"/>
      <c r="H85" s="50"/>
      <c r="I85" s="684"/>
      <c r="J85" s="684"/>
      <c r="K85" s="561"/>
      <c r="L85" s="89"/>
      <c r="M85" s="864"/>
      <c r="N85" s="865"/>
      <c r="P85" s="50"/>
      <c r="Q85" s="89"/>
      <c r="R85" s="860"/>
      <c r="S85" s="861"/>
      <c r="T85" s="89"/>
      <c r="U85" s="562"/>
      <c r="V85" s="126"/>
      <c r="W85" s="29"/>
      <c r="X85" s="29"/>
      <c r="Y85" s="859" t="str" cm="1">
        <f t="array" ref="Y85">IFERROR(IF(IFERROR(_xlfn.IFNA(LOOKUP(2,1/('Project SqFt'!$A$18:$A$160=W85)/('Project SqFt'!$B$18:$B$160=X85),'Project SqFt'!$F$18:$F$160),LOOKUP(2,1/('Project SqFt'!$H$18:$H$160=W85)/('Project SqFt'!$I$18:$I$160=X85),'Project SqFt'!$M$18:$M$160)),LOOKUP(2,1/('Project SqFt'!$P$18:$P$160=W85)/('Project SqFt'!$Q$18:$Q$160=X85),'Project SqFt'!$U$18:$U$160))="","",IFERROR(_xlfn.IFNA(LOOKUP(2,1/('Project SqFt'!$A$18:$A$160=W85)/('Project SqFt'!$B$18:$B$160=X85),'Project SqFt'!$F$18:$F$160),LOOKUP(2,1/('Project SqFt'!$H$18:$H$160=W85)/('Project SqFt'!$I$18:$I$160=X85),'Project SqFt'!$M$18:$M$160)),LOOKUP(2,1/('Project SqFt'!$P$18:$P$160=W85)/('Project SqFt'!$Q$18:$Q$160=X85),'Project SqFt'!$U$18:$U$160))),"")</f>
        <v/>
      </c>
      <c r="Z85" s="725"/>
      <c r="AA85" s="194" t="str" cm="1">
        <f t="array" ref="AA85">IFERROR(IF(IFERROR(_xlfn.IFNA(LOOKUP(2,1/('Project SqFt'!$A$18:$A$160=W85)/('Project SqFt'!$B$18:$B$160=X85),'Project SqFt'!$D$18:$D$160),LOOKUP(2,1/('Project SqFt'!$H$18:$H$160=W85)/('Project SqFt'!$I$18:$I$160=X85),'Project SqFt'!$L$18:$L$160)),LOOKUP(2,1/('Project SqFt'!$P$18:$P$160=W85)/('Project SqFt'!$Q$18:$Q$160=X85),'Project SqFt'!$T$18:$T$160))="","",IFERROR(_xlfn.IFNA(LOOKUP(2,1/('Project SqFt'!$A$18:$A$160=W85)/('Project SqFt'!$B$18:$B$160=X85),'Project SqFt'!$D$18:$D$160),LOOKUP(2,1/('Project SqFt'!$H$18:$H$160=W85)/('Project SqFt'!$I$18:$I$160=X85),'Project SqFt'!$L$18:$L$160)),LOOKUP(2,1/('Project SqFt'!$P$18:$P$160=W85)/('Project SqFt'!$Q$18:$Q$160=X85),'Project SqFt'!$T$18:$T$160))),"")</f>
        <v/>
      </c>
    </row>
    <row r="86" spans="1:27" ht="15" customHeight="1" x14ac:dyDescent="0.25">
      <c r="A86" s="73"/>
      <c r="B86" s="89"/>
      <c r="C86" s="561"/>
      <c r="D86" s="874"/>
      <c r="E86" s="875"/>
      <c r="F86" s="562"/>
      <c r="H86" s="50"/>
      <c r="I86" s="684"/>
      <c r="J86" s="684"/>
      <c r="K86" s="561"/>
      <c r="L86" s="89"/>
      <c r="M86" s="864"/>
      <c r="N86" s="865"/>
      <c r="P86" s="50"/>
      <c r="Q86" s="89"/>
      <c r="R86" s="860"/>
      <c r="S86" s="861"/>
      <c r="T86" s="89"/>
      <c r="U86" s="562"/>
      <c r="V86" s="126"/>
      <c r="W86" s="29"/>
      <c r="X86" s="29"/>
      <c r="Y86" s="859" t="str" cm="1">
        <f t="array" ref="Y86">IFERROR(IF(IFERROR(_xlfn.IFNA(LOOKUP(2,1/('Project SqFt'!$A$18:$A$160=W86)/('Project SqFt'!$B$18:$B$160=X86),'Project SqFt'!$F$18:$F$160),LOOKUP(2,1/('Project SqFt'!$H$18:$H$160=W86)/('Project SqFt'!$I$18:$I$160=X86),'Project SqFt'!$M$18:$M$160)),LOOKUP(2,1/('Project SqFt'!$P$18:$P$160=W86)/('Project SqFt'!$Q$18:$Q$160=X86),'Project SqFt'!$U$18:$U$160))="","",IFERROR(_xlfn.IFNA(LOOKUP(2,1/('Project SqFt'!$A$18:$A$160=W86)/('Project SqFt'!$B$18:$B$160=X86),'Project SqFt'!$F$18:$F$160),LOOKUP(2,1/('Project SqFt'!$H$18:$H$160=W86)/('Project SqFt'!$I$18:$I$160=X86),'Project SqFt'!$M$18:$M$160)),LOOKUP(2,1/('Project SqFt'!$P$18:$P$160=W86)/('Project SqFt'!$Q$18:$Q$160=X86),'Project SqFt'!$U$18:$U$160))),"")</f>
        <v/>
      </c>
      <c r="Z86" s="725"/>
      <c r="AA86" s="194" t="str" cm="1">
        <f t="array" ref="AA86">IFERROR(IF(IFERROR(_xlfn.IFNA(LOOKUP(2,1/('Project SqFt'!$A$18:$A$160=W86)/('Project SqFt'!$B$18:$B$160=X86),'Project SqFt'!$D$18:$D$160),LOOKUP(2,1/('Project SqFt'!$H$18:$H$160=W86)/('Project SqFt'!$I$18:$I$160=X86),'Project SqFt'!$L$18:$L$160)),LOOKUP(2,1/('Project SqFt'!$P$18:$P$160=W86)/('Project SqFt'!$Q$18:$Q$160=X86),'Project SqFt'!$T$18:$T$160))="","",IFERROR(_xlfn.IFNA(LOOKUP(2,1/('Project SqFt'!$A$18:$A$160=W86)/('Project SqFt'!$B$18:$B$160=X86),'Project SqFt'!$D$18:$D$160),LOOKUP(2,1/('Project SqFt'!$H$18:$H$160=W86)/('Project SqFt'!$I$18:$I$160=X86),'Project SqFt'!$L$18:$L$160)),LOOKUP(2,1/('Project SqFt'!$P$18:$P$160=W86)/('Project SqFt'!$Q$18:$Q$160=X86),'Project SqFt'!$T$18:$T$160))),"")</f>
        <v/>
      </c>
    </row>
    <row r="87" spans="1:27" ht="15" customHeight="1" x14ac:dyDescent="0.25">
      <c r="A87" s="50"/>
      <c r="B87" s="89"/>
      <c r="C87" s="561"/>
      <c r="D87" s="874"/>
      <c r="E87" s="875"/>
      <c r="F87" s="562"/>
      <c r="H87" s="50"/>
      <c r="I87" s="684"/>
      <c r="J87" s="684"/>
      <c r="K87" s="561"/>
      <c r="L87" s="89"/>
      <c r="M87" s="864"/>
      <c r="N87" s="865"/>
      <c r="P87" s="50"/>
      <c r="Q87" s="89"/>
      <c r="R87" s="860"/>
      <c r="S87" s="861"/>
      <c r="T87" s="89"/>
      <c r="U87" s="562"/>
      <c r="V87" s="126"/>
      <c r="W87" s="29"/>
      <c r="X87" s="29"/>
      <c r="Y87" s="859" t="str" cm="1">
        <f t="array" ref="Y87">IFERROR(IF(IFERROR(_xlfn.IFNA(LOOKUP(2,1/('Project SqFt'!$A$18:$A$160=W87)/('Project SqFt'!$B$18:$B$160=X87),'Project SqFt'!$F$18:$F$160),LOOKUP(2,1/('Project SqFt'!$H$18:$H$160=W87)/('Project SqFt'!$I$18:$I$160=X87),'Project SqFt'!$M$18:$M$160)),LOOKUP(2,1/('Project SqFt'!$P$18:$P$160=W87)/('Project SqFt'!$Q$18:$Q$160=X87),'Project SqFt'!$U$18:$U$160))="","",IFERROR(_xlfn.IFNA(LOOKUP(2,1/('Project SqFt'!$A$18:$A$160=W87)/('Project SqFt'!$B$18:$B$160=X87),'Project SqFt'!$F$18:$F$160),LOOKUP(2,1/('Project SqFt'!$H$18:$H$160=W87)/('Project SqFt'!$I$18:$I$160=X87),'Project SqFt'!$M$18:$M$160)),LOOKUP(2,1/('Project SqFt'!$P$18:$P$160=W87)/('Project SqFt'!$Q$18:$Q$160=X87),'Project SqFt'!$U$18:$U$160))),"")</f>
        <v/>
      </c>
      <c r="Z87" s="725"/>
      <c r="AA87" s="194" t="str" cm="1">
        <f t="array" ref="AA87">IFERROR(IF(IFERROR(_xlfn.IFNA(LOOKUP(2,1/('Project SqFt'!$A$18:$A$160=W87)/('Project SqFt'!$B$18:$B$160=X87),'Project SqFt'!$D$18:$D$160),LOOKUP(2,1/('Project SqFt'!$H$18:$H$160=W87)/('Project SqFt'!$I$18:$I$160=X87),'Project SqFt'!$L$18:$L$160)),LOOKUP(2,1/('Project SqFt'!$P$18:$P$160=W87)/('Project SqFt'!$Q$18:$Q$160=X87),'Project SqFt'!$T$18:$T$160))="","",IFERROR(_xlfn.IFNA(LOOKUP(2,1/('Project SqFt'!$A$18:$A$160=W87)/('Project SqFt'!$B$18:$B$160=X87),'Project SqFt'!$D$18:$D$160),LOOKUP(2,1/('Project SqFt'!$H$18:$H$160=W87)/('Project SqFt'!$I$18:$I$160=X87),'Project SqFt'!$L$18:$L$160)),LOOKUP(2,1/('Project SqFt'!$P$18:$P$160=W87)/('Project SqFt'!$Q$18:$Q$160=X87),'Project SqFt'!$T$18:$T$160))),"")</f>
        <v/>
      </c>
    </row>
    <row r="88" spans="1:27" ht="15" customHeight="1" thickBot="1" x14ac:dyDescent="0.3">
      <c r="A88" s="283" t="s">
        <v>43</v>
      </c>
      <c r="B88" s="290">
        <f>COUNTA(B18:B87)</f>
        <v>0</v>
      </c>
      <c r="C88" s="284">
        <f>SUM(C18:C87)</f>
        <v>0</v>
      </c>
      <c r="D88" s="876" cm="1">
        <f t="array" ref="D88">SUM(IFERROR(VLOOKUP(D$18:D$87,'Project Summary'!$R$131:$S$135,2,FALSE),0))</f>
        <v>0</v>
      </c>
      <c r="E88" s="877"/>
      <c r="F88" s="291">
        <f>COUNTIFS(F18:F87,"&lt;&gt;Staff",F18:F87,"&lt;&gt;")</f>
        <v>0</v>
      </c>
      <c r="G88" s="147"/>
      <c r="H88" s="283" t="s">
        <v>43</v>
      </c>
      <c r="I88" s="866">
        <f t="shared" ref="I88:J88" si="1">COUNTA(I18:I87)</f>
        <v>0</v>
      </c>
      <c r="J88" s="866">
        <f t="shared" si="1"/>
        <v>0</v>
      </c>
      <c r="K88" s="284">
        <f>SUM(K18:K87)</f>
        <v>0</v>
      </c>
      <c r="L88" s="292" cm="1">
        <f t="array" ref="L88">SUM(IFERROR(VLOOKUP(L$18:L$87,'Project Summary'!$R$131:$S$135,2,FALSE),0))</f>
        <v>0</v>
      </c>
      <c r="M88" s="867">
        <f>COUNTIFS(M18:M87,"&lt;&gt;Staff",M18:M87,"&lt;&gt;")</f>
        <v>0</v>
      </c>
      <c r="N88" s="868"/>
      <c r="O88" s="147"/>
      <c r="P88" s="283" t="s">
        <v>43</v>
      </c>
      <c r="Q88" s="290">
        <f>COUNTA(Q18:Q87)</f>
        <v>0</v>
      </c>
      <c r="R88" s="862">
        <f>SUM(R18:R87)</f>
        <v>0</v>
      </c>
      <c r="S88" s="863"/>
      <c r="T88" s="292" cm="1">
        <f t="array" ref="T88">SUM(IFERROR(VLOOKUP(T$18:T$87,'Project Summary'!$R$131:$S$135,2,FALSE),0))</f>
        <v>0</v>
      </c>
      <c r="U88" s="291">
        <f>COUNTIFS(U18:U87,"&lt;&gt;Staff",U18:U87,"&lt;&gt;")</f>
        <v>0</v>
      </c>
      <c r="V88" s="126"/>
      <c r="W88" s="29"/>
      <c r="X88" s="29"/>
      <c r="Y88" s="859" t="str" cm="1">
        <f t="array" ref="Y88">IFERROR(IF(IFERROR(_xlfn.IFNA(LOOKUP(2,1/('Project SqFt'!$A$18:$A$160=W88)/('Project SqFt'!$B$18:$B$160=X88),'Project SqFt'!$F$18:$F$160),LOOKUP(2,1/('Project SqFt'!$H$18:$H$160=W88)/('Project SqFt'!$I$18:$I$160=X88),'Project SqFt'!$M$18:$M$160)),LOOKUP(2,1/('Project SqFt'!$P$18:$P$160=W88)/('Project SqFt'!$Q$18:$Q$160=X88),'Project SqFt'!$U$18:$U$160))="","",IFERROR(_xlfn.IFNA(LOOKUP(2,1/('Project SqFt'!$A$18:$A$160=W88)/('Project SqFt'!$B$18:$B$160=X88),'Project SqFt'!$F$18:$F$160),LOOKUP(2,1/('Project SqFt'!$H$18:$H$160=W88)/('Project SqFt'!$I$18:$I$160=X88),'Project SqFt'!$M$18:$M$160)),LOOKUP(2,1/('Project SqFt'!$P$18:$P$160=W88)/('Project SqFt'!$Q$18:$Q$160=X88),'Project SqFt'!$U$18:$U$160))),"")</f>
        <v/>
      </c>
      <c r="Z88" s="725"/>
      <c r="AA88" s="194" t="str" cm="1">
        <f t="array" ref="AA88">IFERROR(IF(IFERROR(_xlfn.IFNA(LOOKUP(2,1/('Project SqFt'!$A$18:$A$160=W88)/('Project SqFt'!$B$18:$B$160=X88),'Project SqFt'!$D$18:$D$160),LOOKUP(2,1/('Project SqFt'!$H$18:$H$160=W88)/('Project SqFt'!$I$18:$I$160=X88),'Project SqFt'!$L$18:$L$160)),LOOKUP(2,1/('Project SqFt'!$P$18:$P$160=W88)/('Project SqFt'!$Q$18:$Q$160=X88),'Project SqFt'!$T$18:$T$160))="","",IFERROR(_xlfn.IFNA(LOOKUP(2,1/('Project SqFt'!$A$18:$A$160=W88)/('Project SqFt'!$B$18:$B$160=X88),'Project SqFt'!$D$18:$D$160),LOOKUP(2,1/('Project SqFt'!$H$18:$H$160=W88)/('Project SqFt'!$I$18:$I$160=X88),'Project SqFt'!$L$18:$L$160)),LOOKUP(2,1/('Project SqFt'!$P$18:$P$160=W88)/('Project SqFt'!$Q$18:$Q$160=X88),'Project SqFt'!$T$18:$T$160))),"")</f>
        <v/>
      </c>
    </row>
    <row r="89" spans="1:27" ht="15.75" thickBot="1" x14ac:dyDescent="0.3">
      <c r="V89" s="108"/>
      <c r="W89" s="29"/>
      <c r="X89" s="29"/>
      <c r="Y89" s="859" t="str" cm="1">
        <f t="array" ref="Y89">IFERROR(IF(IFERROR(_xlfn.IFNA(LOOKUP(2,1/('Project SqFt'!$A$18:$A$160=W89)/('Project SqFt'!$B$18:$B$160=X89),'Project SqFt'!$F$18:$F$160),LOOKUP(2,1/('Project SqFt'!$H$18:$H$160=W89)/('Project SqFt'!$I$18:$I$160=X89),'Project SqFt'!$M$18:$M$160)),LOOKUP(2,1/('Project SqFt'!$P$18:$P$160=W89)/('Project SqFt'!$Q$18:$Q$160=X89),'Project SqFt'!$U$18:$U$160))="","",IFERROR(_xlfn.IFNA(LOOKUP(2,1/('Project SqFt'!$A$18:$A$160=W89)/('Project SqFt'!$B$18:$B$160=X89),'Project SqFt'!$F$18:$F$160),LOOKUP(2,1/('Project SqFt'!$H$18:$H$160=W89)/('Project SqFt'!$I$18:$I$160=X89),'Project SqFt'!$M$18:$M$160)),LOOKUP(2,1/('Project SqFt'!$P$18:$P$160=W89)/('Project SqFt'!$Q$18:$Q$160=X89),'Project SqFt'!$U$18:$U$160))),"")</f>
        <v/>
      </c>
      <c r="Z89" s="725"/>
      <c r="AA89" s="194" t="str" cm="1">
        <f t="array" ref="AA89">IFERROR(IF(IFERROR(_xlfn.IFNA(LOOKUP(2,1/('Project SqFt'!$A$18:$A$160=W89)/('Project SqFt'!$B$18:$B$160=X89),'Project SqFt'!$D$18:$D$160),LOOKUP(2,1/('Project SqFt'!$H$18:$H$160=W89)/('Project SqFt'!$I$18:$I$160=X89),'Project SqFt'!$L$18:$L$160)),LOOKUP(2,1/('Project SqFt'!$P$18:$P$160=W89)/('Project SqFt'!$Q$18:$Q$160=X89),'Project SqFt'!$T$18:$T$160))="","",IFERROR(_xlfn.IFNA(LOOKUP(2,1/('Project SqFt'!$A$18:$A$160=W89)/('Project SqFt'!$B$18:$B$160=X89),'Project SqFt'!$D$18:$D$160),LOOKUP(2,1/('Project SqFt'!$H$18:$H$160=W89)/('Project SqFt'!$I$18:$I$160=X89),'Project SqFt'!$L$18:$L$160)),LOOKUP(2,1/('Project SqFt'!$P$18:$P$160=W89)/('Project SqFt'!$Q$18:$Q$160=X89),'Project SqFt'!$T$18:$T$160))),"")</f>
        <v/>
      </c>
    </row>
    <row r="90" spans="1:27" x14ac:dyDescent="0.25">
      <c r="A90" s="277" t="s">
        <v>809</v>
      </c>
      <c r="B90" s="278" t="s">
        <v>39</v>
      </c>
      <c r="C90" s="278" t="s">
        <v>41</v>
      </c>
      <c r="D90" s="869" t="s">
        <v>40</v>
      </c>
      <c r="E90" s="870"/>
      <c r="F90" s="287" t="s">
        <v>472</v>
      </c>
      <c r="H90" s="277" t="s">
        <v>809</v>
      </c>
      <c r="I90" s="871" t="s">
        <v>39</v>
      </c>
      <c r="J90" s="871"/>
      <c r="K90" s="278" t="s">
        <v>41</v>
      </c>
      <c r="L90" s="278" t="s">
        <v>40</v>
      </c>
      <c r="M90" s="872" t="s">
        <v>472</v>
      </c>
      <c r="N90" s="873"/>
      <c r="P90" s="277" t="s">
        <v>809</v>
      </c>
      <c r="Q90" s="278" t="s">
        <v>39</v>
      </c>
      <c r="R90" s="869" t="s">
        <v>41</v>
      </c>
      <c r="S90" s="870"/>
      <c r="T90" s="278" t="s">
        <v>40</v>
      </c>
      <c r="U90" s="287" t="s">
        <v>472</v>
      </c>
      <c r="W90" s="29"/>
      <c r="X90" s="29"/>
      <c r="Y90" s="859" t="str" cm="1">
        <f t="array" ref="Y90">IFERROR(IF(IFERROR(_xlfn.IFNA(LOOKUP(2,1/('Project SqFt'!$A$18:$A$160=W90)/('Project SqFt'!$B$18:$B$160=X90),'Project SqFt'!$F$18:$F$160),LOOKUP(2,1/('Project SqFt'!$H$18:$H$160=W90)/('Project SqFt'!$I$18:$I$160=X90),'Project SqFt'!$M$18:$M$160)),LOOKUP(2,1/('Project SqFt'!$P$18:$P$160=W90)/('Project SqFt'!$Q$18:$Q$160=X90),'Project SqFt'!$U$18:$U$160))="","",IFERROR(_xlfn.IFNA(LOOKUP(2,1/('Project SqFt'!$A$18:$A$160=W90)/('Project SqFt'!$B$18:$B$160=X90),'Project SqFt'!$F$18:$F$160),LOOKUP(2,1/('Project SqFt'!$H$18:$H$160=W90)/('Project SqFt'!$I$18:$I$160=X90),'Project SqFt'!$M$18:$M$160)),LOOKUP(2,1/('Project SqFt'!$P$18:$P$160=W90)/('Project SqFt'!$Q$18:$Q$160=X90),'Project SqFt'!$U$18:$U$160))),"")</f>
        <v/>
      </c>
      <c r="Z90" s="725"/>
      <c r="AA90" s="194" t="str" cm="1">
        <f t="array" ref="AA90">IFERROR(IF(IFERROR(_xlfn.IFNA(LOOKUP(2,1/('Project SqFt'!$A$18:$A$160=W90)/('Project SqFt'!$B$18:$B$160=X90),'Project SqFt'!$D$18:$D$160),LOOKUP(2,1/('Project SqFt'!$H$18:$H$160=W90)/('Project SqFt'!$I$18:$I$160=X90),'Project SqFt'!$L$18:$L$160)),LOOKUP(2,1/('Project SqFt'!$P$18:$P$160=W90)/('Project SqFt'!$Q$18:$Q$160=X90),'Project SqFt'!$T$18:$T$160))="","",IFERROR(_xlfn.IFNA(LOOKUP(2,1/('Project SqFt'!$A$18:$A$160=W90)/('Project SqFt'!$B$18:$B$160=X90),'Project SqFt'!$D$18:$D$160),LOOKUP(2,1/('Project SqFt'!$H$18:$H$160=W90)/('Project SqFt'!$I$18:$I$160=X90),'Project SqFt'!$L$18:$L$160)),LOOKUP(2,1/('Project SqFt'!$P$18:$P$160=W90)/('Project SqFt'!$Q$18:$Q$160=X90),'Project SqFt'!$T$18:$T$160))),"")</f>
        <v/>
      </c>
    </row>
    <row r="91" spans="1:27" x14ac:dyDescent="0.25">
      <c r="A91" s="73"/>
      <c r="B91" s="89"/>
      <c r="C91" s="561"/>
      <c r="D91" s="874"/>
      <c r="E91" s="875"/>
      <c r="F91" s="562"/>
      <c r="H91" s="73"/>
      <c r="I91" s="684"/>
      <c r="J91" s="684"/>
      <c r="K91" s="561"/>
      <c r="L91" s="89"/>
      <c r="M91" s="864"/>
      <c r="N91" s="865"/>
      <c r="P91" s="73"/>
      <c r="Q91" s="89"/>
      <c r="R91" s="860"/>
      <c r="S91" s="861"/>
      <c r="T91" s="89"/>
      <c r="U91" s="562"/>
      <c r="W91" s="29"/>
      <c r="X91" s="29"/>
      <c r="Y91" s="859" t="str" cm="1">
        <f t="array" ref="Y91">IFERROR(IF(IFERROR(_xlfn.IFNA(LOOKUP(2,1/('Project SqFt'!$A$18:$A$160=W91)/('Project SqFt'!$B$18:$B$160=X91),'Project SqFt'!$F$18:$F$160),LOOKUP(2,1/('Project SqFt'!$H$18:$H$160=W91)/('Project SqFt'!$I$18:$I$160=X91),'Project SqFt'!$M$18:$M$160)),LOOKUP(2,1/('Project SqFt'!$P$18:$P$160=W91)/('Project SqFt'!$Q$18:$Q$160=X91),'Project SqFt'!$U$18:$U$160))="","",IFERROR(_xlfn.IFNA(LOOKUP(2,1/('Project SqFt'!$A$18:$A$160=W91)/('Project SqFt'!$B$18:$B$160=X91),'Project SqFt'!$F$18:$F$160),LOOKUP(2,1/('Project SqFt'!$H$18:$H$160=W91)/('Project SqFt'!$I$18:$I$160=X91),'Project SqFt'!$M$18:$M$160)),LOOKUP(2,1/('Project SqFt'!$P$18:$P$160=W91)/('Project SqFt'!$Q$18:$Q$160=X91),'Project SqFt'!$U$18:$U$160))),"")</f>
        <v/>
      </c>
      <c r="Z91" s="725"/>
      <c r="AA91" s="194" t="str" cm="1">
        <f t="array" ref="AA91">IFERROR(IF(IFERROR(_xlfn.IFNA(LOOKUP(2,1/('Project SqFt'!$A$18:$A$160=W91)/('Project SqFt'!$B$18:$B$160=X91),'Project SqFt'!$D$18:$D$160),LOOKUP(2,1/('Project SqFt'!$H$18:$H$160=W91)/('Project SqFt'!$I$18:$I$160=X91),'Project SqFt'!$L$18:$L$160)),LOOKUP(2,1/('Project SqFt'!$P$18:$P$160=W91)/('Project SqFt'!$Q$18:$Q$160=X91),'Project SqFt'!$T$18:$T$160))="","",IFERROR(_xlfn.IFNA(LOOKUP(2,1/('Project SqFt'!$A$18:$A$160=W91)/('Project SqFt'!$B$18:$B$160=X91),'Project SqFt'!$D$18:$D$160),LOOKUP(2,1/('Project SqFt'!$H$18:$H$160=W91)/('Project SqFt'!$I$18:$I$160=X91),'Project SqFt'!$L$18:$L$160)),LOOKUP(2,1/('Project SqFt'!$P$18:$P$160=W91)/('Project SqFt'!$Q$18:$Q$160=X91),'Project SqFt'!$T$18:$T$160))),"")</f>
        <v/>
      </c>
    </row>
    <row r="92" spans="1:27" x14ac:dyDescent="0.25">
      <c r="A92" s="50"/>
      <c r="B92" s="89"/>
      <c r="C92" s="561"/>
      <c r="D92" s="874"/>
      <c r="E92" s="875"/>
      <c r="F92" s="562"/>
      <c r="H92" s="50"/>
      <c r="I92" s="684"/>
      <c r="J92" s="684"/>
      <c r="K92" s="561"/>
      <c r="L92" s="89"/>
      <c r="M92" s="864"/>
      <c r="N92" s="865"/>
      <c r="P92" s="50"/>
      <c r="Q92" s="89"/>
      <c r="R92" s="860"/>
      <c r="S92" s="861"/>
      <c r="T92" s="89"/>
      <c r="U92" s="562"/>
      <c r="W92" s="29"/>
      <c r="X92" s="29"/>
      <c r="Y92" s="859" t="str" cm="1">
        <f t="array" ref="Y92">IFERROR(IF(IFERROR(_xlfn.IFNA(LOOKUP(2,1/('Project SqFt'!$A$18:$A$160=W92)/('Project SqFt'!$B$18:$B$160=X92),'Project SqFt'!$F$18:$F$160),LOOKUP(2,1/('Project SqFt'!$H$18:$H$160=W92)/('Project SqFt'!$I$18:$I$160=X92),'Project SqFt'!$M$18:$M$160)),LOOKUP(2,1/('Project SqFt'!$P$18:$P$160=W92)/('Project SqFt'!$Q$18:$Q$160=X92),'Project SqFt'!$U$18:$U$160))="","",IFERROR(_xlfn.IFNA(LOOKUP(2,1/('Project SqFt'!$A$18:$A$160=W92)/('Project SqFt'!$B$18:$B$160=X92),'Project SqFt'!$F$18:$F$160),LOOKUP(2,1/('Project SqFt'!$H$18:$H$160=W92)/('Project SqFt'!$I$18:$I$160=X92),'Project SqFt'!$M$18:$M$160)),LOOKUP(2,1/('Project SqFt'!$P$18:$P$160=W92)/('Project SqFt'!$Q$18:$Q$160=X92),'Project SqFt'!$U$18:$U$160))),"")</f>
        <v/>
      </c>
      <c r="Z92" s="725"/>
      <c r="AA92" s="194" t="str" cm="1">
        <f t="array" ref="AA92">IFERROR(IF(IFERROR(_xlfn.IFNA(LOOKUP(2,1/('Project SqFt'!$A$18:$A$160=W92)/('Project SqFt'!$B$18:$B$160=X92),'Project SqFt'!$D$18:$D$160),LOOKUP(2,1/('Project SqFt'!$H$18:$H$160=W92)/('Project SqFt'!$I$18:$I$160=X92),'Project SqFt'!$L$18:$L$160)),LOOKUP(2,1/('Project SqFt'!$P$18:$P$160=W92)/('Project SqFt'!$Q$18:$Q$160=X92),'Project SqFt'!$T$18:$T$160))="","",IFERROR(_xlfn.IFNA(LOOKUP(2,1/('Project SqFt'!$A$18:$A$160=W92)/('Project SqFt'!$B$18:$B$160=X92),'Project SqFt'!$D$18:$D$160),LOOKUP(2,1/('Project SqFt'!$H$18:$H$160=W92)/('Project SqFt'!$I$18:$I$160=X92),'Project SqFt'!$L$18:$L$160)),LOOKUP(2,1/('Project SqFt'!$P$18:$P$160=W92)/('Project SqFt'!$Q$18:$Q$160=X92),'Project SqFt'!$T$18:$T$160))),"")</f>
        <v/>
      </c>
    </row>
    <row r="93" spans="1:27" x14ac:dyDescent="0.25">
      <c r="A93" s="73"/>
      <c r="B93" s="89"/>
      <c r="C93" s="561"/>
      <c r="D93" s="874"/>
      <c r="E93" s="875"/>
      <c r="F93" s="562"/>
      <c r="H93" s="50"/>
      <c r="I93" s="684"/>
      <c r="J93" s="684"/>
      <c r="K93" s="561"/>
      <c r="L93" s="89"/>
      <c r="M93" s="864"/>
      <c r="N93" s="865"/>
      <c r="P93" s="50"/>
      <c r="Q93" s="89"/>
      <c r="R93" s="860"/>
      <c r="S93" s="861"/>
      <c r="T93" s="89"/>
      <c r="U93" s="562"/>
      <c r="W93" s="29"/>
      <c r="X93" s="29"/>
      <c r="Y93" s="859" t="str" cm="1">
        <f t="array" ref="Y93">IFERROR(IF(IFERROR(_xlfn.IFNA(LOOKUP(2,1/('Project SqFt'!$A$18:$A$160=W93)/('Project SqFt'!$B$18:$B$160=X93),'Project SqFt'!$F$18:$F$160),LOOKUP(2,1/('Project SqFt'!$H$18:$H$160=W93)/('Project SqFt'!$I$18:$I$160=X93),'Project SqFt'!$M$18:$M$160)),LOOKUP(2,1/('Project SqFt'!$P$18:$P$160=W93)/('Project SqFt'!$Q$18:$Q$160=X93),'Project SqFt'!$U$18:$U$160))="","",IFERROR(_xlfn.IFNA(LOOKUP(2,1/('Project SqFt'!$A$18:$A$160=W93)/('Project SqFt'!$B$18:$B$160=X93),'Project SqFt'!$F$18:$F$160),LOOKUP(2,1/('Project SqFt'!$H$18:$H$160=W93)/('Project SqFt'!$I$18:$I$160=X93),'Project SqFt'!$M$18:$M$160)),LOOKUP(2,1/('Project SqFt'!$P$18:$P$160=W93)/('Project SqFt'!$Q$18:$Q$160=X93),'Project SqFt'!$U$18:$U$160))),"")</f>
        <v/>
      </c>
      <c r="Z93" s="725"/>
      <c r="AA93" s="194" t="str" cm="1">
        <f t="array" ref="AA93">IFERROR(IF(IFERROR(_xlfn.IFNA(LOOKUP(2,1/('Project SqFt'!$A$18:$A$160=W93)/('Project SqFt'!$B$18:$B$160=X93),'Project SqFt'!$D$18:$D$160),LOOKUP(2,1/('Project SqFt'!$H$18:$H$160=W93)/('Project SqFt'!$I$18:$I$160=X93),'Project SqFt'!$L$18:$L$160)),LOOKUP(2,1/('Project SqFt'!$P$18:$P$160=W93)/('Project SqFt'!$Q$18:$Q$160=X93),'Project SqFt'!$T$18:$T$160))="","",IFERROR(_xlfn.IFNA(LOOKUP(2,1/('Project SqFt'!$A$18:$A$160=W93)/('Project SqFt'!$B$18:$B$160=X93),'Project SqFt'!$D$18:$D$160),LOOKUP(2,1/('Project SqFt'!$H$18:$H$160=W93)/('Project SqFt'!$I$18:$I$160=X93),'Project SqFt'!$L$18:$L$160)),LOOKUP(2,1/('Project SqFt'!$P$18:$P$160=W93)/('Project SqFt'!$Q$18:$Q$160=X93),'Project SqFt'!$T$18:$T$160))),"")</f>
        <v/>
      </c>
    </row>
    <row r="94" spans="1:27" x14ac:dyDescent="0.25">
      <c r="A94" s="50"/>
      <c r="B94" s="89"/>
      <c r="C94" s="561"/>
      <c r="D94" s="874"/>
      <c r="E94" s="875"/>
      <c r="F94" s="562"/>
      <c r="H94" s="50"/>
      <c r="I94" s="684"/>
      <c r="J94" s="684"/>
      <c r="K94" s="561"/>
      <c r="L94" s="89"/>
      <c r="M94" s="864"/>
      <c r="N94" s="865"/>
      <c r="P94" s="50"/>
      <c r="Q94" s="89"/>
      <c r="R94" s="860"/>
      <c r="S94" s="861"/>
      <c r="T94" s="89"/>
      <c r="U94" s="562"/>
      <c r="W94" s="29"/>
      <c r="X94" s="29"/>
      <c r="Y94" s="859" t="str" cm="1">
        <f t="array" ref="Y94">IFERROR(IF(IFERROR(_xlfn.IFNA(LOOKUP(2,1/('Project SqFt'!$A$18:$A$160=W94)/('Project SqFt'!$B$18:$B$160=X94),'Project SqFt'!$F$18:$F$160),LOOKUP(2,1/('Project SqFt'!$H$18:$H$160=W94)/('Project SqFt'!$I$18:$I$160=X94),'Project SqFt'!$M$18:$M$160)),LOOKUP(2,1/('Project SqFt'!$P$18:$P$160=W94)/('Project SqFt'!$Q$18:$Q$160=X94),'Project SqFt'!$U$18:$U$160))="","",IFERROR(_xlfn.IFNA(LOOKUP(2,1/('Project SqFt'!$A$18:$A$160=W94)/('Project SqFt'!$B$18:$B$160=X94),'Project SqFt'!$F$18:$F$160),LOOKUP(2,1/('Project SqFt'!$H$18:$H$160=W94)/('Project SqFt'!$I$18:$I$160=X94),'Project SqFt'!$M$18:$M$160)),LOOKUP(2,1/('Project SqFt'!$P$18:$P$160=W94)/('Project SqFt'!$Q$18:$Q$160=X94),'Project SqFt'!$U$18:$U$160))),"")</f>
        <v/>
      </c>
      <c r="Z94" s="725"/>
      <c r="AA94" s="194" t="str" cm="1">
        <f t="array" ref="AA94">IFERROR(IF(IFERROR(_xlfn.IFNA(LOOKUP(2,1/('Project SqFt'!$A$18:$A$160=W94)/('Project SqFt'!$B$18:$B$160=X94),'Project SqFt'!$D$18:$D$160),LOOKUP(2,1/('Project SqFt'!$H$18:$H$160=W94)/('Project SqFt'!$I$18:$I$160=X94),'Project SqFt'!$L$18:$L$160)),LOOKUP(2,1/('Project SqFt'!$P$18:$P$160=W94)/('Project SqFt'!$Q$18:$Q$160=X94),'Project SqFt'!$T$18:$T$160))="","",IFERROR(_xlfn.IFNA(LOOKUP(2,1/('Project SqFt'!$A$18:$A$160=W94)/('Project SqFt'!$B$18:$B$160=X94),'Project SqFt'!$D$18:$D$160),LOOKUP(2,1/('Project SqFt'!$H$18:$H$160=W94)/('Project SqFt'!$I$18:$I$160=X94),'Project SqFt'!$L$18:$L$160)),LOOKUP(2,1/('Project SqFt'!$P$18:$P$160=W94)/('Project SqFt'!$Q$18:$Q$160=X94),'Project SqFt'!$T$18:$T$160))),"")</f>
        <v/>
      </c>
    </row>
    <row r="95" spans="1:27" x14ac:dyDescent="0.25">
      <c r="A95" s="73"/>
      <c r="B95" s="89"/>
      <c r="C95" s="561"/>
      <c r="D95" s="874"/>
      <c r="E95" s="875"/>
      <c r="F95" s="562"/>
      <c r="H95" s="50"/>
      <c r="I95" s="684"/>
      <c r="J95" s="684"/>
      <c r="K95" s="561"/>
      <c r="L95" s="89"/>
      <c r="M95" s="864"/>
      <c r="N95" s="865"/>
      <c r="P95" s="50"/>
      <c r="Q95" s="89"/>
      <c r="R95" s="860"/>
      <c r="S95" s="861"/>
      <c r="T95" s="89"/>
      <c r="U95" s="562"/>
      <c r="W95" s="29"/>
      <c r="X95" s="29"/>
      <c r="Y95" s="859" t="str" cm="1">
        <f t="array" ref="Y95">IFERROR(IF(IFERROR(_xlfn.IFNA(LOOKUP(2,1/('Project SqFt'!$A$18:$A$160=W95)/('Project SqFt'!$B$18:$B$160=X95),'Project SqFt'!$F$18:$F$160),LOOKUP(2,1/('Project SqFt'!$H$18:$H$160=W95)/('Project SqFt'!$I$18:$I$160=X95),'Project SqFt'!$M$18:$M$160)),LOOKUP(2,1/('Project SqFt'!$P$18:$P$160=W95)/('Project SqFt'!$Q$18:$Q$160=X95),'Project SqFt'!$U$18:$U$160))="","",IFERROR(_xlfn.IFNA(LOOKUP(2,1/('Project SqFt'!$A$18:$A$160=W95)/('Project SqFt'!$B$18:$B$160=X95),'Project SqFt'!$F$18:$F$160),LOOKUP(2,1/('Project SqFt'!$H$18:$H$160=W95)/('Project SqFt'!$I$18:$I$160=X95),'Project SqFt'!$M$18:$M$160)),LOOKUP(2,1/('Project SqFt'!$P$18:$P$160=W95)/('Project SqFt'!$Q$18:$Q$160=X95),'Project SqFt'!$U$18:$U$160))),"")</f>
        <v/>
      </c>
      <c r="Z95" s="725"/>
      <c r="AA95" s="194" t="str" cm="1">
        <f t="array" ref="AA95">IFERROR(IF(IFERROR(_xlfn.IFNA(LOOKUP(2,1/('Project SqFt'!$A$18:$A$160=W95)/('Project SqFt'!$B$18:$B$160=X95),'Project SqFt'!$D$18:$D$160),LOOKUP(2,1/('Project SqFt'!$H$18:$H$160=W95)/('Project SqFt'!$I$18:$I$160=X95),'Project SqFt'!$L$18:$L$160)),LOOKUP(2,1/('Project SqFt'!$P$18:$P$160=W95)/('Project SqFt'!$Q$18:$Q$160=X95),'Project SqFt'!$T$18:$T$160))="","",IFERROR(_xlfn.IFNA(LOOKUP(2,1/('Project SqFt'!$A$18:$A$160=W95)/('Project SqFt'!$B$18:$B$160=X95),'Project SqFt'!$D$18:$D$160),LOOKUP(2,1/('Project SqFt'!$H$18:$H$160=W95)/('Project SqFt'!$I$18:$I$160=X95),'Project SqFt'!$L$18:$L$160)),LOOKUP(2,1/('Project SqFt'!$P$18:$P$160=W95)/('Project SqFt'!$Q$18:$Q$160=X95),'Project SqFt'!$T$18:$T$160))),"")</f>
        <v/>
      </c>
    </row>
    <row r="96" spans="1:27" x14ac:dyDescent="0.25">
      <c r="A96" s="50"/>
      <c r="B96" s="89"/>
      <c r="C96" s="561"/>
      <c r="D96" s="874"/>
      <c r="E96" s="875"/>
      <c r="F96" s="562"/>
      <c r="H96" s="50"/>
      <c r="I96" s="684"/>
      <c r="J96" s="684"/>
      <c r="K96" s="561"/>
      <c r="L96" s="89"/>
      <c r="M96" s="864"/>
      <c r="N96" s="865"/>
      <c r="P96" s="50"/>
      <c r="Q96" s="89"/>
      <c r="R96" s="860"/>
      <c r="S96" s="861"/>
      <c r="T96" s="89"/>
      <c r="U96" s="562"/>
      <c r="W96" s="29"/>
      <c r="X96" s="29"/>
      <c r="Y96" s="859" t="str" cm="1">
        <f t="array" ref="Y96">IFERROR(IF(IFERROR(_xlfn.IFNA(LOOKUP(2,1/('Project SqFt'!$A$18:$A$160=W96)/('Project SqFt'!$B$18:$B$160=X96),'Project SqFt'!$F$18:$F$160),LOOKUP(2,1/('Project SqFt'!$H$18:$H$160=W96)/('Project SqFt'!$I$18:$I$160=X96),'Project SqFt'!$M$18:$M$160)),LOOKUP(2,1/('Project SqFt'!$P$18:$P$160=W96)/('Project SqFt'!$Q$18:$Q$160=X96),'Project SqFt'!$U$18:$U$160))="","",IFERROR(_xlfn.IFNA(LOOKUP(2,1/('Project SqFt'!$A$18:$A$160=W96)/('Project SqFt'!$B$18:$B$160=X96),'Project SqFt'!$F$18:$F$160),LOOKUP(2,1/('Project SqFt'!$H$18:$H$160=W96)/('Project SqFt'!$I$18:$I$160=X96),'Project SqFt'!$M$18:$M$160)),LOOKUP(2,1/('Project SqFt'!$P$18:$P$160=W96)/('Project SqFt'!$Q$18:$Q$160=X96),'Project SqFt'!$U$18:$U$160))),"")</f>
        <v/>
      </c>
      <c r="Z96" s="725"/>
      <c r="AA96" s="194" t="str" cm="1">
        <f t="array" ref="AA96">IFERROR(IF(IFERROR(_xlfn.IFNA(LOOKUP(2,1/('Project SqFt'!$A$18:$A$160=W96)/('Project SqFt'!$B$18:$B$160=X96),'Project SqFt'!$D$18:$D$160),LOOKUP(2,1/('Project SqFt'!$H$18:$H$160=W96)/('Project SqFt'!$I$18:$I$160=X96),'Project SqFt'!$L$18:$L$160)),LOOKUP(2,1/('Project SqFt'!$P$18:$P$160=W96)/('Project SqFt'!$Q$18:$Q$160=X96),'Project SqFt'!$T$18:$T$160))="","",IFERROR(_xlfn.IFNA(LOOKUP(2,1/('Project SqFt'!$A$18:$A$160=W96)/('Project SqFt'!$B$18:$B$160=X96),'Project SqFt'!$D$18:$D$160),LOOKUP(2,1/('Project SqFt'!$H$18:$H$160=W96)/('Project SqFt'!$I$18:$I$160=X96),'Project SqFt'!$L$18:$L$160)),LOOKUP(2,1/('Project SqFt'!$P$18:$P$160=W96)/('Project SqFt'!$Q$18:$Q$160=X96),'Project SqFt'!$T$18:$T$160))),"")</f>
        <v/>
      </c>
    </row>
    <row r="97" spans="1:27" x14ac:dyDescent="0.25">
      <c r="A97" s="73"/>
      <c r="B97" s="89"/>
      <c r="C97" s="561"/>
      <c r="D97" s="874"/>
      <c r="E97" s="875"/>
      <c r="F97" s="562"/>
      <c r="H97" s="50"/>
      <c r="I97" s="684"/>
      <c r="J97" s="684"/>
      <c r="K97" s="561"/>
      <c r="L97" s="89"/>
      <c r="M97" s="864"/>
      <c r="N97" s="865"/>
      <c r="P97" s="50"/>
      <c r="Q97" s="89"/>
      <c r="R97" s="860"/>
      <c r="S97" s="861"/>
      <c r="T97" s="89"/>
      <c r="U97" s="562"/>
      <c r="W97" s="29"/>
      <c r="X97" s="29"/>
      <c r="Y97" s="859" t="str" cm="1">
        <f t="array" ref="Y97">IFERROR(IF(IFERROR(_xlfn.IFNA(LOOKUP(2,1/('Project SqFt'!$A$18:$A$160=W97)/('Project SqFt'!$B$18:$B$160=X97),'Project SqFt'!$F$18:$F$160),LOOKUP(2,1/('Project SqFt'!$H$18:$H$160=W97)/('Project SqFt'!$I$18:$I$160=X97),'Project SqFt'!$M$18:$M$160)),LOOKUP(2,1/('Project SqFt'!$P$18:$P$160=W97)/('Project SqFt'!$Q$18:$Q$160=X97),'Project SqFt'!$U$18:$U$160))="","",IFERROR(_xlfn.IFNA(LOOKUP(2,1/('Project SqFt'!$A$18:$A$160=W97)/('Project SqFt'!$B$18:$B$160=X97),'Project SqFt'!$F$18:$F$160),LOOKUP(2,1/('Project SqFt'!$H$18:$H$160=W97)/('Project SqFt'!$I$18:$I$160=X97),'Project SqFt'!$M$18:$M$160)),LOOKUP(2,1/('Project SqFt'!$P$18:$P$160=W97)/('Project SqFt'!$Q$18:$Q$160=X97),'Project SqFt'!$U$18:$U$160))),"")</f>
        <v/>
      </c>
      <c r="Z97" s="725"/>
      <c r="AA97" s="194" t="str" cm="1">
        <f t="array" ref="AA97">IFERROR(IF(IFERROR(_xlfn.IFNA(LOOKUP(2,1/('Project SqFt'!$A$18:$A$160=W97)/('Project SqFt'!$B$18:$B$160=X97),'Project SqFt'!$D$18:$D$160),LOOKUP(2,1/('Project SqFt'!$H$18:$H$160=W97)/('Project SqFt'!$I$18:$I$160=X97),'Project SqFt'!$L$18:$L$160)),LOOKUP(2,1/('Project SqFt'!$P$18:$P$160=W97)/('Project SqFt'!$Q$18:$Q$160=X97),'Project SqFt'!$T$18:$T$160))="","",IFERROR(_xlfn.IFNA(LOOKUP(2,1/('Project SqFt'!$A$18:$A$160=W97)/('Project SqFt'!$B$18:$B$160=X97),'Project SqFt'!$D$18:$D$160),LOOKUP(2,1/('Project SqFt'!$H$18:$H$160=W97)/('Project SqFt'!$I$18:$I$160=X97),'Project SqFt'!$L$18:$L$160)),LOOKUP(2,1/('Project SqFt'!$P$18:$P$160=W97)/('Project SqFt'!$Q$18:$Q$160=X97),'Project SqFt'!$T$18:$T$160))),"")</f>
        <v/>
      </c>
    </row>
    <row r="98" spans="1:27" x14ac:dyDescent="0.25">
      <c r="A98" s="50"/>
      <c r="B98" s="89"/>
      <c r="C98" s="561"/>
      <c r="D98" s="874"/>
      <c r="E98" s="875"/>
      <c r="F98" s="562"/>
      <c r="H98" s="50"/>
      <c r="I98" s="684"/>
      <c r="J98" s="684"/>
      <c r="K98" s="561"/>
      <c r="L98" s="89"/>
      <c r="M98" s="864"/>
      <c r="N98" s="865"/>
      <c r="P98" s="50"/>
      <c r="Q98" s="89"/>
      <c r="R98" s="860"/>
      <c r="S98" s="861"/>
      <c r="T98" s="89"/>
      <c r="U98" s="562"/>
      <c r="W98" s="29"/>
      <c r="X98" s="29"/>
      <c r="Y98" s="859" t="str" cm="1">
        <f t="array" ref="Y98">IFERROR(IF(IFERROR(_xlfn.IFNA(LOOKUP(2,1/('Project SqFt'!$A$18:$A$160=W98)/('Project SqFt'!$B$18:$B$160=X98),'Project SqFt'!$F$18:$F$160),LOOKUP(2,1/('Project SqFt'!$H$18:$H$160=W98)/('Project SqFt'!$I$18:$I$160=X98),'Project SqFt'!$M$18:$M$160)),LOOKUP(2,1/('Project SqFt'!$P$18:$P$160=W98)/('Project SqFt'!$Q$18:$Q$160=X98),'Project SqFt'!$U$18:$U$160))="","",IFERROR(_xlfn.IFNA(LOOKUP(2,1/('Project SqFt'!$A$18:$A$160=W98)/('Project SqFt'!$B$18:$B$160=X98),'Project SqFt'!$F$18:$F$160),LOOKUP(2,1/('Project SqFt'!$H$18:$H$160=W98)/('Project SqFt'!$I$18:$I$160=X98),'Project SqFt'!$M$18:$M$160)),LOOKUP(2,1/('Project SqFt'!$P$18:$P$160=W98)/('Project SqFt'!$Q$18:$Q$160=X98),'Project SqFt'!$U$18:$U$160))),"")</f>
        <v/>
      </c>
      <c r="Z98" s="725"/>
      <c r="AA98" s="194" t="str" cm="1">
        <f t="array" ref="AA98">IFERROR(IF(IFERROR(_xlfn.IFNA(LOOKUP(2,1/('Project SqFt'!$A$18:$A$160=W98)/('Project SqFt'!$B$18:$B$160=X98),'Project SqFt'!$D$18:$D$160),LOOKUP(2,1/('Project SqFt'!$H$18:$H$160=W98)/('Project SqFt'!$I$18:$I$160=X98),'Project SqFt'!$L$18:$L$160)),LOOKUP(2,1/('Project SqFt'!$P$18:$P$160=W98)/('Project SqFt'!$Q$18:$Q$160=X98),'Project SqFt'!$T$18:$T$160))="","",IFERROR(_xlfn.IFNA(LOOKUP(2,1/('Project SqFt'!$A$18:$A$160=W98)/('Project SqFt'!$B$18:$B$160=X98),'Project SqFt'!$D$18:$D$160),LOOKUP(2,1/('Project SqFt'!$H$18:$H$160=W98)/('Project SqFt'!$I$18:$I$160=X98),'Project SqFt'!$L$18:$L$160)),LOOKUP(2,1/('Project SqFt'!$P$18:$P$160=W98)/('Project SqFt'!$Q$18:$Q$160=X98),'Project SqFt'!$T$18:$T$160))),"")</f>
        <v/>
      </c>
    </row>
    <row r="99" spans="1:27" x14ac:dyDescent="0.25">
      <c r="A99" s="73"/>
      <c r="B99" s="89"/>
      <c r="C99" s="561"/>
      <c r="D99" s="874"/>
      <c r="E99" s="875"/>
      <c r="F99" s="562"/>
      <c r="H99" s="73"/>
      <c r="I99" s="684"/>
      <c r="J99" s="684"/>
      <c r="K99" s="561"/>
      <c r="L99" s="89"/>
      <c r="M99" s="864"/>
      <c r="N99" s="865"/>
      <c r="P99" s="73"/>
      <c r="Q99" s="89"/>
      <c r="R99" s="860"/>
      <c r="S99" s="861"/>
      <c r="T99" s="89"/>
      <c r="U99" s="562"/>
      <c r="W99" s="29"/>
      <c r="X99" s="29"/>
      <c r="Y99" s="859" t="str" cm="1">
        <f t="array" ref="Y99">IFERROR(IF(IFERROR(_xlfn.IFNA(LOOKUP(2,1/('Project SqFt'!$A$18:$A$160=W99)/('Project SqFt'!$B$18:$B$160=X99),'Project SqFt'!$F$18:$F$160),LOOKUP(2,1/('Project SqFt'!$H$18:$H$160=W99)/('Project SqFt'!$I$18:$I$160=X99),'Project SqFt'!$M$18:$M$160)),LOOKUP(2,1/('Project SqFt'!$P$18:$P$160=W99)/('Project SqFt'!$Q$18:$Q$160=X99),'Project SqFt'!$U$18:$U$160))="","",IFERROR(_xlfn.IFNA(LOOKUP(2,1/('Project SqFt'!$A$18:$A$160=W99)/('Project SqFt'!$B$18:$B$160=X99),'Project SqFt'!$F$18:$F$160),LOOKUP(2,1/('Project SqFt'!$H$18:$H$160=W99)/('Project SqFt'!$I$18:$I$160=X99),'Project SqFt'!$M$18:$M$160)),LOOKUP(2,1/('Project SqFt'!$P$18:$P$160=W99)/('Project SqFt'!$Q$18:$Q$160=X99),'Project SqFt'!$U$18:$U$160))),"")</f>
        <v/>
      </c>
      <c r="Z99" s="725"/>
      <c r="AA99" s="194" t="str" cm="1">
        <f t="array" ref="AA99">IFERROR(IF(IFERROR(_xlfn.IFNA(LOOKUP(2,1/('Project SqFt'!$A$18:$A$160=W99)/('Project SqFt'!$B$18:$B$160=X99),'Project SqFt'!$D$18:$D$160),LOOKUP(2,1/('Project SqFt'!$H$18:$H$160=W99)/('Project SqFt'!$I$18:$I$160=X99),'Project SqFt'!$L$18:$L$160)),LOOKUP(2,1/('Project SqFt'!$P$18:$P$160=W99)/('Project SqFt'!$Q$18:$Q$160=X99),'Project SqFt'!$T$18:$T$160))="","",IFERROR(_xlfn.IFNA(LOOKUP(2,1/('Project SqFt'!$A$18:$A$160=W99)/('Project SqFt'!$B$18:$B$160=X99),'Project SqFt'!$D$18:$D$160),LOOKUP(2,1/('Project SqFt'!$H$18:$H$160=W99)/('Project SqFt'!$I$18:$I$160=X99),'Project SqFt'!$L$18:$L$160)),LOOKUP(2,1/('Project SqFt'!$P$18:$P$160=W99)/('Project SqFt'!$Q$18:$Q$160=X99),'Project SqFt'!$T$18:$T$160))),"")</f>
        <v/>
      </c>
    </row>
    <row r="100" spans="1:27" x14ac:dyDescent="0.25">
      <c r="A100" s="50"/>
      <c r="B100" s="89"/>
      <c r="C100" s="561"/>
      <c r="D100" s="874"/>
      <c r="E100" s="875"/>
      <c r="F100" s="562"/>
      <c r="H100" s="50"/>
      <c r="I100" s="684"/>
      <c r="J100" s="684"/>
      <c r="K100" s="561"/>
      <c r="L100" s="89"/>
      <c r="M100" s="864"/>
      <c r="N100" s="865"/>
      <c r="P100" s="50"/>
      <c r="Q100" s="89"/>
      <c r="R100" s="860"/>
      <c r="S100" s="861"/>
      <c r="T100" s="89"/>
      <c r="U100" s="562"/>
      <c r="W100" s="29"/>
      <c r="X100" s="29"/>
      <c r="Y100" s="859" t="str" cm="1">
        <f t="array" ref="Y100">IFERROR(IF(IFERROR(_xlfn.IFNA(LOOKUP(2,1/('Project SqFt'!$A$18:$A$160=W100)/('Project SqFt'!$B$18:$B$160=X100),'Project SqFt'!$F$18:$F$160),LOOKUP(2,1/('Project SqFt'!$H$18:$H$160=W100)/('Project SqFt'!$I$18:$I$160=X100),'Project SqFt'!$M$18:$M$160)),LOOKUP(2,1/('Project SqFt'!$P$18:$P$160=W100)/('Project SqFt'!$Q$18:$Q$160=X100),'Project SqFt'!$U$18:$U$160))="","",IFERROR(_xlfn.IFNA(LOOKUP(2,1/('Project SqFt'!$A$18:$A$160=W100)/('Project SqFt'!$B$18:$B$160=X100),'Project SqFt'!$F$18:$F$160),LOOKUP(2,1/('Project SqFt'!$H$18:$H$160=W100)/('Project SqFt'!$I$18:$I$160=X100),'Project SqFt'!$M$18:$M$160)),LOOKUP(2,1/('Project SqFt'!$P$18:$P$160=W100)/('Project SqFt'!$Q$18:$Q$160=X100),'Project SqFt'!$U$18:$U$160))),"")</f>
        <v/>
      </c>
      <c r="Z100" s="725"/>
      <c r="AA100" s="194" t="str" cm="1">
        <f t="array" ref="AA100">IFERROR(IF(IFERROR(_xlfn.IFNA(LOOKUP(2,1/('Project SqFt'!$A$18:$A$160=W100)/('Project SqFt'!$B$18:$B$160=X100),'Project SqFt'!$D$18:$D$160),LOOKUP(2,1/('Project SqFt'!$H$18:$H$160=W100)/('Project SqFt'!$I$18:$I$160=X100),'Project SqFt'!$L$18:$L$160)),LOOKUP(2,1/('Project SqFt'!$P$18:$P$160=W100)/('Project SqFt'!$Q$18:$Q$160=X100),'Project SqFt'!$T$18:$T$160))="","",IFERROR(_xlfn.IFNA(LOOKUP(2,1/('Project SqFt'!$A$18:$A$160=W100)/('Project SqFt'!$B$18:$B$160=X100),'Project SqFt'!$D$18:$D$160),LOOKUP(2,1/('Project SqFt'!$H$18:$H$160=W100)/('Project SqFt'!$I$18:$I$160=X100),'Project SqFt'!$L$18:$L$160)),LOOKUP(2,1/('Project SqFt'!$P$18:$P$160=W100)/('Project SqFt'!$Q$18:$Q$160=X100),'Project SqFt'!$T$18:$T$160))),"")</f>
        <v/>
      </c>
    </row>
    <row r="101" spans="1:27" x14ac:dyDescent="0.25">
      <c r="A101" s="73"/>
      <c r="B101" s="89"/>
      <c r="C101" s="561"/>
      <c r="D101" s="874"/>
      <c r="E101" s="875"/>
      <c r="F101" s="562"/>
      <c r="H101" s="50"/>
      <c r="I101" s="684"/>
      <c r="J101" s="684"/>
      <c r="K101" s="561"/>
      <c r="L101" s="89"/>
      <c r="M101" s="864"/>
      <c r="N101" s="865"/>
      <c r="P101" s="50"/>
      <c r="Q101" s="89"/>
      <c r="R101" s="860"/>
      <c r="S101" s="861"/>
      <c r="T101" s="89"/>
      <c r="U101" s="562"/>
      <c r="W101" s="29"/>
      <c r="X101" s="29"/>
      <c r="Y101" s="859" t="str" cm="1">
        <f t="array" ref="Y101">IFERROR(IF(IFERROR(_xlfn.IFNA(LOOKUP(2,1/('Project SqFt'!$A$18:$A$160=W101)/('Project SqFt'!$B$18:$B$160=X101),'Project SqFt'!$F$18:$F$160),LOOKUP(2,1/('Project SqFt'!$H$18:$H$160=W101)/('Project SqFt'!$I$18:$I$160=X101),'Project SqFt'!$M$18:$M$160)),LOOKUP(2,1/('Project SqFt'!$P$18:$P$160=W101)/('Project SqFt'!$Q$18:$Q$160=X101),'Project SqFt'!$U$18:$U$160))="","",IFERROR(_xlfn.IFNA(LOOKUP(2,1/('Project SqFt'!$A$18:$A$160=W101)/('Project SqFt'!$B$18:$B$160=X101),'Project SqFt'!$F$18:$F$160),LOOKUP(2,1/('Project SqFt'!$H$18:$H$160=W101)/('Project SqFt'!$I$18:$I$160=X101),'Project SqFt'!$M$18:$M$160)),LOOKUP(2,1/('Project SqFt'!$P$18:$P$160=W101)/('Project SqFt'!$Q$18:$Q$160=X101),'Project SqFt'!$U$18:$U$160))),"")</f>
        <v/>
      </c>
      <c r="Z101" s="725"/>
      <c r="AA101" s="194" t="str" cm="1">
        <f t="array" ref="AA101">IFERROR(IF(IFERROR(_xlfn.IFNA(LOOKUP(2,1/('Project SqFt'!$A$18:$A$160=W101)/('Project SqFt'!$B$18:$B$160=X101),'Project SqFt'!$D$18:$D$160),LOOKUP(2,1/('Project SqFt'!$H$18:$H$160=W101)/('Project SqFt'!$I$18:$I$160=X101),'Project SqFt'!$L$18:$L$160)),LOOKUP(2,1/('Project SqFt'!$P$18:$P$160=W101)/('Project SqFt'!$Q$18:$Q$160=X101),'Project SqFt'!$T$18:$T$160))="","",IFERROR(_xlfn.IFNA(LOOKUP(2,1/('Project SqFt'!$A$18:$A$160=W101)/('Project SqFt'!$B$18:$B$160=X101),'Project SqFt'!$D$18:$D$160),LOOKUP(2,1/('Project SqFt'!$H$18:$H$160=W101)/('Project SqFt'!$I$18:$I$160=X101),'Project SqFt'!$L$18:$L$160)),LOOKUP(2,1/('Project SqFt'!$P$18:$P$160=W101)/('Project SqFt'!$Q$18:$Q$160=X101),'Project SqFt'!$T$18:$T$160))),"")</f>
        <v/>
      </c>
    </row>
    <row r="102" spans="1:27" x14ac:dyDescent="0.25">
      <c r="A102" s="50"/>
      <c r="B102" s="89"/>
      <c r="C102" s="561"/>
      <c r="D102" s="874"/>
      <c r="E102" s="875"/>
      <c r="F102" s="562"/>
      <c r="H102" s="50"/>
      <c r="I102" s="684"/>
      <c r="J102" s="684"/>
      <c r="K102" s="561"/>
      <c r="L102" s="89"/>
      <c r="M102" s="864"/>
      <c r="N102" s="865"/>
      <c r="P102" s="50"/>
      <c r="Q102" s="89"/>
      <c r="R102" s="860"/>
      <c r="S102" s="861"/>
      <c r="T102" s="89"/>
      <c r="U102" s="562"/>
      <c r="W102" s="29"/>
      <c r="X102" s="29"/>
      <c r="Y102" s="859" t="str" cm="1">
        <f t="array" ref="Y102">IFERROR(IF(IFERROR(_xlfn.IFNA(LOOKUP(2,1/('Project SqFt'!$A$18:$A$160=W102)/('Project SqFt'!$B$18:$B$160=X102),'Project SqFt'!$F$18:$F$160),LOOKUP(2,1/('Project SqFt'!$H$18:$H$160=W102)/('Project SqFt'!$I$18:$I$160=X102),'Project SqFt'!$M$18:$M$160)),LOOKUP(2,1/('Project SqFt'!$P$18:$P$160=W102)/('Project SqFt'!$Q$18:$Q$160=X102),'Project SqFt'!$U$18:$U$160))="","",IFERROR(_xlfn.IFNA(LOOKUP(2,1/('Project SqFt'!$A$18:$A$160=W102)/('Project SqFt'!$B$18:$B$160=X102),'Project SqFt'!$F$18:$F$160),LOOKUP(2,1/('Project SqFt'!$H$18:$H$160=W102)/('Project SqFt'!$I$18:$I$160=X102),'Project SqFt'!$M$18:$M$160)),LOOKUP(2,1/('Project SqFt'!$P$18:$P$160=W102)/('Project SqFt'!$Q$18:$Q$160=X102),'Project SqFt'!$U$18:$U$160))),"")</f>
        <v/>
      </c>
      <c r="Z102" s="725"/>
      <c r="AA102" s="194" t="str" cm="1">
        <f t="array" ref="AA102">IFERROR(IF(IFERROR(_xlfn.IFNA(LOOKUP(2,1/('Project SqFt'!$A$18:$A$160=W102)/('Project SqFt'!$B$18:$B$160=X102),'Project SqFt'!$D$18:$D$160),LOOKUP(2,1/('Project SqFt'!$H$18:$H$160=W102)/('Project SqFt'!$I$18:$I$160=X102),'Project SqFt'!$L$18:$L$160)),LOOKUP(2,1/('Project SqFt'!$P$18:$P$160=W102)/('Project SqFt'!$Q$18:$Q$160=X102),'Project SqFt'!$T$18:$T$160))="","",IFERROR(_xlfn.IFNA(LOOKUP(2,1/('Project SqFt'!$A$18:$A$160=W102)/('Project SqFt'!$B$18:$B$160=X102),'Project SqFt'!$D$18:$D$160),LOOKUP(2,1/('Project SqFt'!$H$18:$H$160=W102)/('Project SqFt'!$I$18:$I$160=X102),'Project SqFt'!$L$18:$L$160)),LOOKUP(2,1/('Project SqFt'!$P$18:$P$160=W102)/('Project SqFt'!$Q$18:$Q$160=X102),'Project SqFt'!$T$18:$T$160))),"")</f>
        <v/>
      </c>
    </row>
    <row r="103" spans="1:27" x14ac:dyDescent="0.25">
      <c r="A103" s="73"/>
      <c r="B103" s="89"/>
      <c r="C103" s="561"/>
      <c r="D103" s="874"/>
      <c r="E103" s="875"/>
      <c r="F103" s="562"/>
      <c r="H103" s="50"/>
      <c r="I103" s="684"/>
      <c r="J103" s="684"/>
      <c r="K103" s="561"/>
      <c r="L103" s="89"/>
      <c r="M103" s="864"/>
      <c r="N103" s="865"/>
      <c r="P103" s="50"/>
      <c r="Q103" s="89"/>
      <c r="R103" s="860"/>
      <c r="S103" s="861"/>
      <c r="T103" s="89"/>
      <c r="U103" s="562"/>
      <c r="W103" s="29"/>
      <c r="X103" s="29"/>
      <c r="Y103" s="859" t="str" cm="1">
        <f t="array" ref="Y103">IFERROR(IF(IFERROR(_xlfn.IFNA(LOOKUP(2,1/('Project SqFt'!$A$18:$A$160=W103)/('Project SqFt'!$B$18:$B$160=X103),'Project SqFt'!$F$18:$F$160),LOOKUP(2,1/('Project SqFt'!$H$18:$H$160=W103)/('Project SqFt'!$I$18:$I$160=X103),'Project SqFt'!$M$18:$M$160)),LOOKUP(2,1/('Project SqFt'!$P$18:$P$160=W103)/('Project SqFt'!$Q$18:$Q$160=X103),'Project SqFt'!$U$18:$U$160))="","",IFERROR(_xlfn.IFNA(LOOKUP(2,1/('Project SqFt'!$A$18:$A$160=W103)/('Project SqFt'!$B$18:$B$160=X103),'Project SqFt'!$F$18:$F$160),LOOKUP(2,1/('Project SqFt'!$H$18:$H$160=W103)/('Project SqFt'!$I$18:$I$160=X103),'Project SqFt'!$M$18:$M$160)),LOOKUP(2,1/('Project SqFt'!$P$18:$P$160=W103)/('Project SqFt'!$Q$18:$Q$160=X103),'Project SqFt'!$U$18:$U$160))),"")</f>
        <v/>
      </c>
      <c r="Z103" s="725"/>
      <c r="AA103" s="194" t="str" cm="1">
        <f t="array" ref="AA103">IFERROR(IF(IFERROR(_xlfn.IFNA(LOOKUP(2,1/('Project SqFt'!$A$18:$A$160=W103)/('Project SqFt'!$B$18:$B$160=X103),'Project SqFt'!$D$18:$D$160),LOOKUP(2,1/('Project SqFt'!$H$18:$H$160=W103)/('Project SqFt'!$I$18:$I$160=X103),'Project SqFt'!$L$18:$L$160)),LOOKUP(2,1/('Project SqFt'!$P$18:$P$160=W103)/('Project SqFt'!$Q$18:$Q$160=X103),'Project SqFt'!$T$18:$T$160))="","",IFERROR(_xlfn.IFNA(LOOKUP(2,1/('Project SqFt'!$A$18:$A$160=W103)/('Project SqFt'!$B$18:$B$160=X103),'Project SqFt'!$D$18:$D$160),LOOKUP(2,1/('Project SqFt'!$H$18:$H$160=W103)/('Project SqFt'!$I$18:$I$160=X103),'Project SqFt'!$L$18:$L$160)),LOOKUP(2,1/('Project SqFt'!$P$18:$P$160=W103)/('Project SqFt'!$Q$18:$Q$160=X103),'Project SqFt'!$T$18:$T$160))),"")</f>
        <v/>
      </c>
    </row>
    <row r="104" spans="1:27" x14ac:dyDescent="0.25">
      <c r="A104" s="50"/>
      <c r="B104" s="89"/>
      <c r="C104" s="561"/>
      <c r="D104" s="874"/>
      <c r="E104" s="875"/>
      <c r="F104" s="562"/>
      <c r="H104" s="50"/>
      <c r="I104" s="684"/>
      <c r="J104" s="684"/>
      <c r="K104" s="561"/>
      <c r="L104" s="89"/>
      <c r="M104" s="864"/>
      <c r="N104" s="865"/>
      <c r="P104" s="50"/>
      <c r="Q104" s="89"/>
      <c r="R104" s="860"/>
      <c r="S104" s="861"/>
      <c r="T104" s="89"/>
      <c r="U104" s="562"/>
      <c r="W104" s="29"/>
      <c r="X104" s="29"/>
      <c r="Y104" s="859" t="str" cm="1">
        <f t="array" ref="Y104">IFERROR(IF(IFERROR(_xlfn.IFNA(LOOKUP(2,1/('Project SqFt'!$A$18:$A$160=W104)/('Project SqFt'!$B$18:$B$160=X104),'Project SqFt'!$F$18:$F$160),LOOKUP(2,1/('Project SqFt'!$H$18:$H$160=W104)/('Project SqFt'!$I$18:$I$160=X104),'Project SqFt'!$M$18:$M$160)),LOOKUP(2,1/('Project SqFt'!$P$18:$P$160=W104)/('Project SqFt'!$Q$18:$Q$160=X104),'Project SqFt'!$U$18:$U$160))="","",IFERROR(_xlfn.IFNA(LOOKUP(2,1/('Project SqFt'!$A$18:$A$160=W104)/('Project SqFt'!$B$18:$B$160=X104),'Project SqFt'!$F$18:$F$160),LOOKUP(2,1/('Project SqFt'!$H$18:$H$160=W104)/('Project SqFt'!$I$18:$I$160=X104),'Project SqFt'!$M$18:$M$160)),LOOKUP(2,1/('Project SqFt'!$P$18:$P$160=W104)/('Project SqFt'!$Q$18:$Q$160=X104),'Project SqFt'!$U$18:$U$160))),"")</f>
        <v/>
      </c>
      <c r="Z104" s="725"/>
      <c r="AA104" s="194" t="str" cm="1">
        <f t="array" ref="AA104">IFERROR(IF(IFERROR(_xlfn.IFNA(LOOKUP(2,1/('Project SqFt'!$A$18:$A$160=W104)/('Project SqFt'!$B$18:$B$160=X104),'Project SqFt'!$D$18:$D$160),LOOKUP(2,1/('Project SqFt'!$H$18:$H$160=W104)/('Project SqFt'!$I$18:$I$160=X104),'Project SqFt'!$L$18:$L$160)),LOOKUP(2,1/('Project SqFt'!$P$18:$P$160=W104)/('Project SqFt'!$Q$18:$Q$160=X104),'Project SqFt'!$T$18:$T$160))="","",IFERROR(_xlfn.IFNA(LOOKUP(2,1/('Project SqFt'!$A$18:$A$160=W104)/('Project SqFt'!$B$18:$B$160=X104),'Project SqFt'!$D$18:$D$160),LOOKUP(2,1/('Project SqFt'!$H$18:$H$160=W104)/('Project SqFt'!$I$18:$I$160=X104),'Project SqFt'!$L$18:$L$160)),LOOKUP(2,1/('Project SqFt'!$P$18:$P$160=W104)/('Project SqFt'!$Q$18:$Q$160=X104),'Project SqFt'!$T$18:$T$160))),"")</f>
        <v/>
      </c>
    </row>
    <row r="105" spans="1:27" x14ac:dyDescent="0.25">
      <c r="A105" s="73"/>
      <c r="B105" s="89"/>
      <c r="C105" s="561"/>
      <c r="D105" s="874"/>
      <c r="E105" s="875"/>
      <c r="F105" s="562"/>
      <c r="H105" s="50"/>
      <c r="I105" s="684"/>
      <c r="J105" s="684"/>
      <c r="K105" s="561"/>
      <c r="L105" s="89"/>
      <c r="M105" s="864"/>
      <c r="N105" s="865"/>
      <c r="P105" s="50"/>
      <c r="Q105" s="89"/>
      <c r="R105" s="860"/>
      <c r="S105" s="861"/>
      <c r="T105" s="89"/>
      <c r="U105" s="562"/>
      <c r="W105" s="29"/>
      <c r="X105" s="29"/>
      <c r="Y105" s="859" t="str" cm="1">
        <f t="array" ref="Y105">IFERROR(IF(IFERROR(_xlfn.IFNA(LOOKUP(2,1/('Project SqFt'!$A$18:$A$160=W105)/('Project SqFt'!$B$18:$B$160=X105),'Project SqFt'!$F$18:$F$160),LOOKUP(2,1/('Project SqFt'!$H$18:$H$160=W105)/('Project SqFt'!$I$18:$I$160=X105),'Project SqFt'!$M$18:$M$160)),LOOKUP(2,1/('Project SqFt'!$P$18:$P$160=W105)/('Project SqFt'!$Q$18:$Q$160=X105),'Project SqFt'!$U$18:$U$160))="","",IFERROR(_xlfn.IFNA(LOOKUP(2,1/('Project SqFt'!$A$18:$A$160=W105)/('Project SqFt'!$B$18:$B$160=X105),'Project SqFt'!$F$18:$F$160),LOOKUP(2,1/('Project SqFt'!$H$18:$H$160=W105)/('Project SqFt'!$I$18:$I$160=X105),'Project SqFt'!$M$18:$M$160)),LOOKUP(2,1/('Project SqFt'!$P$18:$P$160=W105)/('Project SqFt'!$Q$18:$Q$160=X105),'Project SqFt'!$U$18:$U$160))),"")</f>
        <v/>
      </c>
      <c r="Z105" s="725"/>
      <c r="AA105" s="194" t="str" cm="1">
        <f t="array" ref="AA105">IFERROR(IF(IFERROR(_xlfn.IFNA(LOOKUP(2,1/('Project SqFt'!$A$18:$A$160=W105)/('Project SqFt'!$B$18:$B$160=X105),'Project SqFt'!$D$18:$D$160),LOOKUP(2,1/('Project SqFt'!$H$18:$H$160=W105)/('Project SqFt'!$I$18:$I$160=X105),'Project SqFt'!$L$18:$L$160)),LOOKUP(2,1/('Project SqFt'!$P$18:$P$160=W105)/('Project SqFt'!$Q$18:$Q$160=X105),'Project SqFt'!$T$18:$T$160))="","",IFERROR(_xlfn.IFNA(LOOKUP(2,1/('Project SqFt'!$A$18:$A$160=W105)/('Project SqFt'!$B$18:$B$160=X105),'Project SqFt'!$D$18:$D$160),LOOKUP(2,1/('Project SqFt'!$H$18:$H$160=W105)/('Project SqFt'!$I$18:$I$160=X105),'Project SqFt'!$L$18:$L$160)),LOOKUP(2,1/('Project SqFt'!$P$18:$P$160=W105)/('Project SqFt'!$Q$18:$Q$160=X105),'Project SqFt'!$T$18:$T$160))),"")</f>
        <v/>
      </c>
    </row>
    <row r="106" spans="1:27" x14ac:dyDescent="0.25">
      <c r="A106" s="50"/>
      <c r="B106" s="89"/>
      <c r="C106" s="561"/>
      <c r="D106" s="874"/>
      <c r="E106" s="875"/>
      <c r="F106" s="562"/>
      <c r="H106" s="50"/>
      <c r="I106" s="684"/>
      <c r="J106" s="684"/>
      <c r="K106" s="561"/>
      <c r="L106" s="89"/>
      <c r="M106" s="864"/>
      <c r="N106" s="865"/>
      <c r="P106" s="50"/>
      <c r="Q106" s="89"/>
      <c r="R106" s="860"/>
      <c r="S106" s="861"/>
      <c r="T106" s="89"/>
      <c r="U106" s="562"/>
      <c r="W106" s="29"/>
      <c r="X106" s="29"/>
      <c r="Y106" s="859" t="str" cm="1">
        <f t="array" ref="Y106">IFERROR(IF(IFERROR(_xlfn.IFNA(LOOKUP(2,1/('Project SqFt'!$A$18:$A$160=W106)/('Project SqFt'!$B$18:$B$160=X106),'Project SqFt'!$F$18:$F$160),LOOKUP(2,1/('Project SqFt'!$H$18:$H$160=W106)/('Project SqFt'!$I$18:$I$160=X106),'Project SqFt'!$M$18:$M$160)),LOOKUP(2,1/('Project SqFt'!$P$18:$P$160=W106)/('Project SqFt'!$Q$18:$Q$160=X106),'Project SqFt'!$U$18:$U$160))="","",IFERROR(_xlfn.IFNA(LOOKUP(2,1/('Project SqFt'!$A$18:$A$160=W106)/('Project SqFt'!$B$18:$B$160=X106),'Project SqFt'!$F$18:$F$160),LOOKUP(2,1/('Project SqFt'!$H$18:$H$160=W106)/('Project SqFt'!$I$18:$I$160=X106),'Project SqFt'!$M$18:$M$160)),LOOKUP(2,1/('Project SqFt'!$P$18:$P$160=W106)/('Project SqFt'!$Q$18:$Q$160=X106),'Project SqFt'!$U$18:$U$160))),"")</f>
        <v/>
      </c>
      <c r="Z106" s="725"/>
      <c r="AA106" s="194" t="str" cm="1">
        <f t="array" ref="AA106">IFERROR(IF(IFERROR(_xlfn.IFNA(LOOKUP(2,1/('Project SqFt'!$A$18:$A$160=W106)/('Project SqFt'!$B$18:$B$160=X106),'Project SqFt'!$D$18:$D$160),LOOKUP(2,1/('Project SqFt'!$H$18:$H$160=W106)/('Project SqFt'!$I$18:$I$160=X106),'Project SqFt'!$L$18:$L$160)),LOOKUP(2,1/('Project SqFt'!$P$18:$P$160=W106)/('Project SqFt'!$Q$18:$Q$160=X106),'Project SqFt'!$T$18:$T$160))="","",IFERROR(_xlfn.IFNA(LOOKUP(2,1/('Project SqFt'!$A$18:$A$160=W106)/('Project SqFt'!$B$18:$B$160=X106),'Project SqFt'!$D$18:$D$160),LOOKUP(2,1/('Project SqFt'!$H$18:$H$160=W106)/('Project SqFt'!$I$18:$I$160=X106),'Project SqFt'!$L$18:$L$160)),LOOKUP(2,1/('Project SqFt'!$P$18:$P$160=W106)/('Project SqFt'!$Q$18:$Q$160=X106),'Project SqFt'!$T$18:$T$160))),"")</f>
        <v/>
      </c>
    </row>
    <row r="107" spans="1:27" x14ac:dyDescent="0.25">
      <c r="A107" s="73"/>
      <c r="B107" s="89"/>
      <c r="C107" s="561"/>
      <c r="D107" s="874"/>
      <c r="E107" s="875"/>
      <c r="F107" s="562"/>
      <c r="H107" s="50"/>
      <c r="I107" s="684"/>
      <c r="J107" s="684"/>
      <c r="K107" s="561"/>
      <c r="L107" s="89"/>
      <c r="M107" s="864"/>
      <c r="N107" s="865"/>
      <c r="P107" s="50"/>
      <c r="Q107" s="89"/>
      <c r="R107" s="860"/>
      <c r="S107" s="861"/>
      <c r="T107" s="89"/>
      <c r="U107" s="562"/>
      <c r="W107" s="29"/>
      <c r="X107" s="29"/>
      <c r="Y107" s="859" t="str" cm="1">
        <f t="array" ref="Y107">IFERROR(IF(IFERROR(_xlfn.IFNA(LOOKUP(2,1/('Project SqFt'!$A$18:$A$160=W107)/('Project SqFt'!$B$18:$B$160=X107),'Project SqFt'!$F$18:$F$160),LOOKUP(2,1/('Project SqFt'!$H$18:$H$160=W107)/('Project SqFt'!$I$18:$I$160=X107),'Project SqFt'!$M$18:$M$160)),LOOKUP(2,1/('Project SqFt'!$P$18:$P$160=W107)/('Project SqFt'!$Q$18:$Q$160=X107),'Project SqFt'!$U$18:$U$160))="","",IFERROR(_xlfn.IFNA(LOOKUP(2,1/('Project SqFt'!$A$18:$A$160=W107)/('Project SqFt'!$B$18:$B$160=X107),'Project SqFt'!$F$18:$F$160),LOOKUP(2,1/('Project SqFt'!$H$18:$H$160=W107)/('Project SqFt'!$I$18:$I$160=X107),'Project SqFt'!$M$18:$M$160)),LOOKUP(2,1/('Project SqFt'!$P$18:$P$160=W107)/('Project SqFt'!$Q$18:$Q$160=X107),'Project SqFt'!$U$18:$U$160))),"")</f>
        <v/>
      </c>
      <c r="Z107" s="725"/>
      <c r="AA107" s="194" t="str" cm="1">
        <f t="array" ref="AA107">IFERROR(IF(IFERROR(_xlfn.IFNA(LOOKUP(2,1/('Project SqFt'!$A$18:$A$160=W107)/('Project SqFt'!$B$18:$B$160=X107),'Project SqFt'!$D$18:$D$160),LOOKUP(2,1/('Project SqFt'!$H$18:$H$160=W107)/('Project SqFt'!$I$18:$I$160=X107),'Project SqFt'!$L$18:$L$160)),LOOKUP(2,1/('Project SqFt'!$P$18:$P$160=W107)/('Project SqFt'!$Q$18:$Q$160=X107),'Project SqFt'!$T$18:$T$160))="","",IFERROR(_xlfn.IFNA(LOOKUP(2,1/('Project SqFt'!$A$18:$A$160=W107)/('Project SqFt'!$B$18:$B$160=X107),'Project SqFt'!$D$18:$D$160),LOOKUP(2,1/('Project SqFt'!$H$18:$H$160=W107)/('Project SqFt'!$I$18:$I$160=X107),'Project SqFt'!$L$18:$L$160)),LOOKUP(2,1/('Project SqFt'!$P$18:$P$160=W107)/('Project SqFt'!$Q$18:$Q$160=X107),'Project SqFt'!$T$18:$T$160))),"")</f>
        <v/>
      </c>
    </row>
    <row r="108" spans="1:27" x14ac:dyDescent="0.25">
      <c r="A108" s="50"/>
      <c r="B108" s="89"/>
      <c r="C108" s="561"/>
      <c r="D108" s="874"/>
      <c r="E108" s="875"/>
      <c r="F108" s="562"/>
      <c r="H108" s="50"/>
      <c r="I108" s="684"/>
      <c r="J108" s="684"/>
      <c r="K108" s="561"/>
      <c r="L108" s="89"/>
      <c r="M108" s="864"/>
      <c r="N108" s="865"/>
      <c r="P108" s="50"/>
      <c r="Q108" s="89"/>
      <c r="R108" s="860"/>
      <c r="S108" s="861"/>
      <c r="T108" s="89"/>
      <c r="U108" s="562"/>
      <c r="W108" s="29"/>
      <c r="X108" s="29"/>
      <c r="Y108" s="859" t="str" cm="1">
        <f t="array" ref="Y108">IFERROR(IF(IFERROR(_xlfn.IFNA(LOOKUP(2,1/('Project SqFt'!$A$18:$A$160=W108)/('Project SqFt'!$B$18:$B$160=X108),'Project SqFt'!$F$18:$F$160),LOOKUP(2,1/('Project SqFt'!$H$18:$H$160=W108)/('Project SqFt'!$I$18:$I$160=X108),'Project SqFt'!$M$18:$M$160)),LOOKUP(2,1/('Project SqFt'!$P$18:$P$160=W108)/('Project SqFt'!$Q$18:$Q$160=X108),'Project SqFt'!$U$18:$U$160))="","",IFERROR(_xlfn.IFNA(LOOKUP(2,1/('Project SqFt'!$A$18:$A$160=W108)/('Project SqFt'!$B$18:$B$160=X108),'Project SqFt'!$F$18:$F$160),LOOKUP(2,1/('Project SqFt'!$H$18:$H$160=W108)/('Project SqFt'!$I$18:$I$160=X108),'Project SqFt'!$M$18:$M$160)),LOOKUP(2,1/('Project SqFt'!$P$18:$P$160=W108)/('Project SqFt'!$Q$18:$Q$160=X108),'Project SqFt'!$U$18:$U$160))),"")</f>
        <v/>
      </c>
      <c r="Z108" s="725"/>
      <c r="AA108" s="194" t="str" cm="1">
        <f t="array" ref="AA108">IFERROR(IF(IFERROR(_xlfn.IFNA(LOOKUP(2,1/('Project SqFt'!$A$18:$A$160=W108)/('Project SqFt'!$B$18:$B$160=X108),'Project SqFt'!$D$18:$D$160),LOOKUP(2,1/('Project SqFt'!$H$18:$H$160=W108)/('Project SqFt'!$I$18:$I$160=X108),'Project SqFt'!$L$18:$L$160)),LOOKUP(2,1/('Project SqFt'!$P$18:$P$160=W108)/('Project SqFt'!$Q$18:$Q$160=X108),'Project SqFt'!$T$18:$T$160))="","",IFERROR(_xlfn.IFNA(LOOKUP(2,1/('Project SqFt'!$A$18:$A$160=W108)/('Project SqFt'!$B$18:$B$160=X108),'Project SqFt'!$D$18:$D$160),LOOKUP(2,1/('Project SqFt'!$H$18:$H$160=W108)/('Project SqFt'!$I$18:$I$160=X108),'Project SqFt'!$L$18:$L$160)),LOOKUP(2,1/('Project SqFt'!$P$18:$P$160=W108)/('Project SqFt'!$Q$18:$Q$160=X108),'Project SqFt'!$T$18:$T$160))),"")</f>
        <v/>
      </c>
    </row>
    <row r="109" spans="1:27" x14ac:dyDescent="0.25">
      <c r="A109" s="73"/>
      <c r="B109" s="89"/>
      <c r="C109" s="561"/>
      <c r="D109" s="874"/>
      <c r="E109" s="875"/>
      <c r="F109" s="562"/>
      <c r="H109" s="50"/>
      <c r="I109" s="684"/>
      <c r="J109" s="684"/>
      <c r="K109" s="561"/>
      <c r="L109" s="89"/>
      <c r="M109" s="864"/>
      <c r="N109" s="865"/>
      <c r="P109" s="50"/>
      <c r="Q109" s="89"/>
      <c r="R109" s="860"/>
      <c r="S109" s="861"/>
      <c r="T109" s="89"/>
      <c r="U109" s="562"/>
      <c r="W109" s="29"/>
      <c r="X109" s="29"/>
      <c r="Y109" s="859" t="str" cm="1">
        <f t="array" ref="Y109">IFERROR(IF(IFERROR(_xlfn.IFNA(LOOKUP(2,1/('Project SqFt'!$A$18:$A$160=W109)/('Project SqFt'!$B$18:$B$160=X109),'Project SqFt'!$F$18:$F$160),LOOKUP(2,1/('Project SqFt'!$H$18:$H$160=W109)/('Project SqFt'!$I$18:$I$160=X109),'Project SqFt'!$M$18:$M$160)),LOOKUP(2,1/('Project SqFt'!$P$18:$P$160=W109)/('Project SqFt'!$Q$18:$Q$160=X109),'Project SqFt'!$U$18:$U$160))="","",IFERROR(_xlfn.IFNA(LOOKUP(2,1/('Project SqFt'!$A$18:$A$160=W109)/('Project SqFt'!$B$18:$B$160=X109),'Project SqFt'!$F$18:$F$160),LOOKUP(2,1/('Project SqFt'!$H$18:$H$160=W109)/('Project SqFt'!$I$18:$I$160=X109),'Project SqFt'!$M$18:$M$160)),LOOKUP(2,1/('Project SqFt'!$P$18:$P$160=W109)/('Project SqFt'!$Q$18:$Q$160=X109),'Project SqFt'!$U$18:$U$160))),"")</f>
        <v/>
      </c>
      <c r="Z109" s="725"/>
      <c r="AA109" s="194" t="str" cm="1">
        <f t="array" ref="AA109">IFERROR(IF(IFERROR(_xlfn.IFNA(LOOKUP(2,1/('Project SqFt'!$A$18:$A$160=W109)/('Project SqFt'!$B$18:$B$160=X109),'Project SqFt'!$D$18:$D$160),LOOKUP(2,1/('Project SqFt'!$H$18:$H$160=W109)/('Project SqFt'!$I$18:$I$160=X109),'Project SqFt'!$L$18:$L$160)),LOOKUP(2,1/('Project SqFt'!$P$18:$P$160=W109)/('Project SqFt'!$Q$18:$Q$160=X109),'Project SqFt'!$T$18:$T$160))="","",IFERROR(_xlfn.IFNA(LOOKUP(2,1/('Project SqFt'!$A$18:$A$160=W109)/('Project SqFt'!$B$18:$B$160=X109),'Project SqFt'!$D$18:$D$160),LOOKUP(2,1/('Project SqFt'!$H$18:$H$160=W109)/('Project SqFt'!$I$18:$I$160=X109),'Project SqFt'!$L$18:$L$160)),LOOKUP(2,1/('Project SqFt'!$P$18:$P$160=W109)/('Project SqFt'!$Q$18:$Q$160=X109),'Project SqFt'!$T$18:$T$160))),"")</f>
        <v/>
      </c>
    </row>
    <row r="110" spans="1:27" x14ac:dyDescent="0.25">
      <c r="A110" s="50"/>
      <c r="B110" s="89"/>
      <c r="C110" s="561"/>
      <c r="D110" s="874"/>
      <c r="E110" s="875"/>
      <c r="F110" s="562"/>
      <c r="H110" s="50"/>
      <c r="I110" s="684"/>
      <c r="J110" s="684"/>
      <c r="K110" s="561"/>
      <c r="L110" s="89"/>
      <c r="M110" s="864"/>
      <c r="N110" s="865"/>
      <c r="P110" s="50"/>
      <c r="Q110" s="89"/>
      <c r="R110" s="860"/>
      <c r="S110" s="861"/>
      <c r="T110" s="89"/>
      <c r="U110" s="562"/>
      <c r="W110" s="29"/>
      <c r="X110" s="29"/>
      <c r="Y110" s="859" t="str" cm="1">
        <f t="array" ref="Y110">IFERROR(IF(IFERROR(_xlfn.IFNA(LOOKUP(2,1/('Project SqFt'!$A$18:$A$160=W110)/('Project SqFt'!$B$18:$B$160=X110),'Project SqFt'!$F$18:$F$160),LOOKUP(2,1/('Project SqFt'!$H$18:$H$160=W110)/('Project SqFt'!$I$18:$I$160=X110),'Project SqFt'!$M$18:$M$160)),LOOKUP(2,1/('Project SqFt'!$P$18:$P$160=W110)/('Project SqFt'!$Q$18:$Q$160=X110),'Project SqFt'!$U$18:$U$160))="","",IFERROR(_xlfn.IFNA(LOOKUP(2,1/('Project SqFt'!$A$18:$A$160=W110)/('Project SqFt'!$B$18:$B$160=X110),'Project SqFt'!$F$18:$F$160),LOOKUP(2,1/('Project SqFt'!$H$18:$H$160=W110)/('Project SqFt'!$I$18:$I$160=X110),'Project SqFt'!$M$18:$M$160)),LOOKUP(2,1/('Project SqFt'!$P$18:$P$160=W110)/('Project SqFt'!$Q$18:$Q$160=X110),'Project SqFt'!$U$18:$U$160))),"")</f>
        <v/>
      </c>
      <c r="Z110" s="725"/>
      <c r="AA110" s="194" t="str" cm="1">
        <f t="array" ref="AA110">IFERROR(IF(IFERROR(_xlfn.IFNA(LOOKUP(2,1/('Project SqFt'!$A$18:$A$160=W110)/('Project SqFt'!$B$18:$B$160=X110),'Project SqFt'!$D$18:$D$160),LOOKUP(2,1/('Project SqFt'!$H$18:$H$160=W110)/('Project SqFt'!$I$18:$I$160=X110),'Project SqFt'!$L$18:$L$160)),LOOKUP(2,1/('Project SqFt'!$P$18:$P$160=W110)/('Project SqFt'!$Q$18:$Q$160=X110),'Project SqFt'!$T$18:$T$160))="","",IFERROR(_xlfn.IFNA(LOOKUP(2,1/('Project SqFt'!$A$18:$A$160=W110)/('Project SqFt'!$B$18:$B$160=X110),'Project SqFt'!$D$18:$D$160),LOOKUP(2,1/('Project SqFt'!$H$18:$H$160=W110)/('Project SqFt'!$I$18:$I$160=X110),'Project SqFt'!$L$18:$L$160)),LOOKUP(2,1/('Project SqFt'!$P$18:$P$160=W110)/('Project SqFt'!$Q$18:$Q$160=X110),'Project SqFt'!$T$18:$T$160))),"")</f>
        <v/>
      </c>
    </row>
    <row r="111" spans="1:27" x14ac:dyDescent="0.25">
      <c r="A111" s="73"/>
      <c r="B111" s="89"/>
      <c r="C111" s="561"/>
      <c r="D111" s="874"/>
      <c r="E111" s="875"/>
      <c r="F111" s="562"/>
      <c r="H111" s="50"/>
      <c r="I111" s="684"/>
      <c r="J111" s="684"/>
      <c r="K111" s="561"/>
      <c r="L111" s="89"/>
      <c r="M111" s="864"/>
      <c r="N111" s="865"/>
      <c r="P111" s="50"/>
      <c r="Q111" s="89"/>
      <c r="R111" s="860"/>
      <c r="S111" s="861"/>
      <c r="T111" s="89"/>
      <c r="U111" s="562"/>
      <c r="W111" s="29"/>
      <c r="X111" s="29"/>
      <c r="Y111" s="859" t="str" cm="1">
        <f t="array" ref="Y111">IFERROR(IF(IFERROR(_xlfn.IFNA(LOOKUP(2,1/('Project SqFt'!$A$18:$A$160=W111)/('Project SqFt'!$B$18:$B$160=X111),'Project SqFt'!$F$18:$F$160),LOOKUP(2,1/('Project SqFt'!$H$18:$H$160=W111)/('Project SqFt'!$I$18:$I$160=X111),'Project SqFt'!$M$18:$M$160)),LOOKUP(2,1/('Project SqFt'!$P$18:$P$160=W111)/('Project SqFt'!$Q$18:$Q$160=X111),'Project SqFt'!$U$18:$U$160))="","",IFERROR(_xlfn.IFNA(LOOKUP(2,1/('Project SqFt'!$A$18:$A$160=W111)/('Project SqFt'!$B$18:$B$160=X111),'Project SqFt'!$F$18:$F$160),LOOKUP(2,1/('Project SqFt'!$H$18:$H$160=W111)/('Project SqFt'!$I$18:$I$160=X111),'Project SqFt'!$M$18:$M$160)),LOOKUP(2,1/('Project SqFt'!$P$18:$P$160=W111)/('Project SqFt'!$Q$18:$Q$160=X111),'Project SqFt'!$U$18:$U$160))),"")</f>
        <v/>
      </c>
      <c r="Z111" s="725"/>
      <c r="AA111" s="194" t="str" cm="1">
        <f t="array" ref="AA111">IFERROR(IF(IFERROR(_xlfn.IFNA(LOOKUP(2,1/('Project SqFt'!$A$18:$A$160=W111)/('Project SqFt'!$B$18:$B$160=X111),'Project SqFt'!$D$18:$D$160),LOOKUP(2,1/('Project SqFt'!$H$18:$H$160=W111)/('Project SqFt'!$I$18:$I$160=X111),'Project SqFt'!$L$18:$L$160)),LOOKUP(2,1/('Project SqFt'!$P$18:$P$160=W111)/('Project SqFt'!$Q$18:$Q$160=X111),'Project SqFt'!$T$18:$T$160))="","",IFERROR(_xlfn.IFNA(LOOKUP(2,1/('Project SqFt'!$A$18:$A$160=W111)/('Project SqFt'!$B$18:$B$160=X111),'Project SqFt'!$D$18:$D$160),LOOKUP(2,1/('Project SqFt'!$H$18:$H$160=W111)/('Project SqFt'!$I$18:$I$160=X111),'Project SqFt'!$L$18:$L$160)),LOOKUP(2,1/('Project SqFt'!$P$18:$P$160=W111)/('Project SqFt'!$Q$18:$Q$160=X111),'Project SqFt'!$T$18:$T$160))),"")</f>
        <v/>
      </c>
    </row>
    <row r="112" spans="1:27" x14ac:dyDescent="0.25">
      <c r="A112" s="50"/>
      <c r="B112" s="89"/>
      <c r="C112" s="561"/>
      <c r="D112" s="874"/>
      <c r="E112" s="875"/>
      <c r="F112" s="562"/>
      <c r="H112" s="50"/>
      <c r="I112" s="684"/>
      <c r="J112" s="684"/>
      <c r="K112" s="561"/>
      <c r="L112" s="89"/>
      <c r="M112" s="864"/>
      <c r="N112" s="865"/>
      <c r="P112" s="50"/>
      <c r="Q112" s="89"/>
      <c r="R112" s="860"/>
      <c r="S112" s="861"/>
      <c r="T112" s="89"/>
      <c r="U112" s="562"/>
      <c r="W112" s="29"/>
      <c r="X112" s="29"/>
      <c r="Y112" s="859" t="str" cm="1">
        <f t="array" ref="Y112">IFERROR(IF(IFERROR(_xlfn.IFNA(LOOKUP(2,1/('Project SqFt'!$A$18:$A$160=W112)/('Project SqFt'!$B$18:$B$160=X112),'Project SqFt'!$F$18:$F$160),LOOKUP(2,1/('Project SqFt'!$H$18:$H$160=W112)/('Project SqFt'!$I$18:$I$160=X112),'Project SqFt'!$M$18:$M$160)),LOOKUP(2,1/('Project SqFt'!$P$18:$P$160=W112)/('Project SqFt'!$Q$18:$Q$160=X112),'Project SqFt'!$U$18:$U$160))="","",IFERROR(_xlfn.IFNA(LOOKUP(2,1/('Project SqFt'!$A$18:$A$160=W112)/('Project SqFt'!$B$18:$B$160=X112),'Project SqFt'!$F$18:$F$160),LOOKUP(2,1/('Project SqFt'!$H$18:$H$160=W112)/('Project SqFt'!$I$18:$I$160=X112),'Project SqFt'!$M$18:$M$160)),LOOKUP(2,1/('Project SqFt'!$P$18:$P$160=W112)/('Project SqFt'!$Q$18:$Q$160=X112),'Project SqFt'!$U$18:$U$160))),"")</f>
        <v/>
      </c>
      <c r="Z112" s="725"/>
      <c r="AA112" s="194" t="str" cm="1">
        <f t="array" ref="AA112">IFERROR(IF(IFERROR(_xlfn.IFNA(LOOKUP(2,1/('Project SqFt'!$A$18:$A$160=W112)/('Project SqFt'!$B$18:$B$160=X112),'Project SqFt'!$D$18:$D$160),LOOKUP(2,1/('Project SqFt'!$H$18:$H$160=W112)/('Project SqFt'!$I$18:$I$160=X112),'Project SqFt'!$L$18:$L$160)),LOOKUP(2,1/('Project SqFt'!$P$18:$P$160=W112)/('Project SqFt'!$Q$18:$Q$160=X112),'Project SqFt'!$T$18:$T$160))="","",IFERROR(_xlfn.IFNA(LOOKUP(2,1/('Project SqFt'!$A$18:$A$160=W112)/('Project SqFt'!$B$18:$B$160=X112),'Project SqFt'!$D$18:$D$160),LOOKUP(2,1/('Project SqFt'!$H$18:$H$160=W112)/('Project SqFt'!$I$18:$I$160=X112),'Project SqFt'!$L$18:$L$160)),LOOKUP(2,1/('Project SqFt'!$P$18:$P$160=W112)/('Project SqFt'!$Q$18:$Q$160=X112),'Project SqFt'!$T$18:$T$160))),"")</f>
        <v/>
      </c>
    </row>
    <row r="113" spans="1:27" x14ac:dyDescent="0.25">
      <c r="A113" s="73"/>
      <c r="B113" s="89"/>
      <c r="C113" s="561"/>
      <c r="D113" s="874"/>
      <c r="E113" s="875"/>
      <c r="F113" s="562"/>
      <c r="H113" s="50"/>
      <c r="I113" s="684"/>
      <c r="J113" s="684"/>
      <c r="K113" s="561"/>
      <c r="L113" s="89"/>
      <c r="M113" s="864"/>
      <c r="N113" s="865"/>
      <c r="P113" s="50"/>
      <c r="Q113" s="89"/>
      <c r="R113" s="860"/>
      <c r="S113" s="861"/>
      <c r="T113" s="89"/>
      <c r="U113" s="562"/>
      <c r="W113" s="29"/>
      <c r="X113" s="29"/>
      <c r="Y113" s="859" t="str" cm="1">
        <f t="array" ref="Y113">IFERROR(IF(IFERROR(_xlfn.IFNA(LOOKUP(2,1/('Project SqFt'!$A$18:$A$160=W113)/('Project SqFt'!$B$18:$B$160=X113),'Project SqFt'!$F$18:$F$160),LOOKUP(2,1/('Project SqFt'!$H$18:$H$160=W113)/('Project SqFt'!$I$18:$I$160=X113),'Project SqFt'!$M$18:$M$160)),LOOKUP(2,1/('Project SqFt'!$P$18:$P$160=W113)/('Project SqFt'!$Q$18:$Q$160=X113),'Project SqFt'!$U$18:$U$160))="","",IFERROR(_xlfn.IFNA(LOOKUP(2,1/('Project SqFt'!$A$18:$A$160=W113)/('Project SqFt'!$B$18:$B$160=X113),'Project SqFt'!$F$18:$F$160),LOOKUP(2,1/('Project SqFt'!$H$18:$H$160=W113)/('Project SqFt'!$I$18:$I$160=X113),'Project SqFt'!$M$18:$M$160)),LOOKUP(2,1/('Project SqFt'!$P$18:$P$160=W113)/('Project SqFt'!$Q$18:$Q$160=X113),'Project SqFt'!$U$18:$U$160))),"")</f>
        <v/>
      </c>
      <c r="Z113" s="725"/>
      <c r="AA113" s="194" t="str" cm="1">
        <f t="array" ref="AA113">IFERROR(IF(IFERROR(_xlfn.IFNA(LOOKUP(2,1/('Project SqFt'!$A$18:$A$160=W113)/('Project SqFt'!$B$18:$B$160=X113),'Project SqFt'!$D$18:$D$160),LOOKUP(2,1/('Project SqFt'!$H$18:$H$160=W113)/('Project SqFt'!$I$18:$I$160=X113),'Project SqFt'!$L$18:$L$160)),LOOKUP(2,1/('Project SqFt'!$P$18:$P$160=W113)/('Project SqFt'!$Q$18:$Q$160=X113),'Project SqFt'!$T$18:$T$160))="","",IFERROR(_xlfn.IFNA(LOOKUP(2,1/('Project SqFt'!$A$18:$A$160=W113)/('Project SqFt'!$B$18:$B$160=X113),'Project SqFt'!$D$18:$D$160),LOOKUP(2,1/('Project SqFt'!$H$18:$H$160=W113)/('Project SqFt'!$I$18:$I$160=X113),'Project SqFt'!$L$18:$L$160)),LOOKUP(2,1/('Project SqFt'!$P$18:$P$160=W113)/('Project SqFt'!$Q$18:$Q$160=X113),'Project SqFt'!$T$18:$T$160))),"")</f>
        <v/>
      </c>
    </row>
    <row r="114" spans="1:27" x14ac:dyDescent="0.25">
      <c r="A114" s="50"/>
      <c r="B114" s="89"/>
      <c r="C114" s="561"/>
      <c r="D114" s="874"/>
      <c r="E114" s="875"/>
      <c r="F114" s="562"/>
      <c r="H114" s="50"/>
      <c r="I114" s="684"/>
      <c r="J114" s="684"/>
      <c r="K114" s="561"/>
      <c r="L114" s="89"/>
      <c r="M114" s="864"/>
      <c r="N114" s="865"/>
      <c r="P114" s="50"/>
      <c r="Q114" s="89"/>
      <c r="R114" s="860"/>
      <c r="S114" s="861"/>
      <c r="T114" s="89"/>
      <c r="U114" s="562"/>
      <c r="W114" s="29"/>
      <c r="X114" s="29"/>
      <c r="Y114" s="859" t="str" cm="1">
        <f t="array" ref="Y114">IFERROR(IF(IFERROR(_xlfn.IFNA(LOOKUP(2,1/('Project SqFt'!$A$18:$A$160=W114)/('Project SqFt'!$B$18:$B$160=X114),'Project SqFt'!$F$18:$F$160),LOOKUP(2,1/('Project SqFt'!$H$18:$H$160=W114)/('Project SqFt'!$I$18:$I$160=X114),'Project SqFt'!$M$18:$M$160)),LOOKUP(2,1/('Project SqFt'!$P$18:$P$160=W114)/('Project SqFt'!$Q$18:$Q$160=X114),'Project SqFt'!$U$18:$U$160))="","",IFERROR(_xlfn.IFNA(LOOKUP(2,1/('Project SqFt'!$A$18:$A$160=W114)/('Project SqFt'!$B$18:$B$160=X114),'Project SqFt'!$F$18:$F$160),LOOKUP(2,1/('Project SqFt'!$H$18:$H$160=W114)/('Project SqFt'!$I$18:$I$160=X114),'Project SqFt'!$M$18:$M$160)),LOOKUP(2,1/('Project SqFt'!$P$18:$P$160=W114)/('Project SqFt'!$Q$18:$Q$160=X114),'Project SqFt'!$U$18:$U$160))),"")</f>
        <v/>
      </c>
      <c r="Z114" s="725"/>
      <c r="AA114" s="194" t="str" cm="1">
        <f t="array" ref="AA114">IFERROR(IF(IFERROR(_xlfn.IFNA(LOOKUP(2,1/('Project SqFt'!$A$18:$A$160=W114)/('Project SqFt'!$B$18:$B$160=X114),'Project SqFt'!$D$18:$D$160),LOOKUP(2,1/('Project SqFt'!$H$18:$H$160=W114)/('Project SqFt'!$I$18:$I$160=X114),'Project SqFt'!$L$18:$L$160)),LOOKUP(2,1/('Project SqFt'!$P$18:$P$160=W114)/('Project SqFt'!$Q$18:$Q$160=X114),'Project SqFt'!$T$18:$T$160))="","",IFERROR(_xlfn.IFNA(LOOKUP(2,1/('Project SqFt'!$A$18:$A$160=W114)/('Project SqFt'!$B$18:$B$160=X114),'Project SqFt'!$D$18:$D$160),LOOKUP(2,1/('Project SqFt'!$H$18:$H$160=W114)/('Project SqFt'!$I$18:$I$160=X114),'Project SqFt'!$L$18:$L$160)),LOOKUP(2,1/('Project SqFt'!$P$18:$P$160=W114)/('Project SqFt'!$Q$18:$Q$160=X114),'Project SqFt'!$T$18:$T$160))),"")</f>
        <v/>
      </c>
    </row>
    <row r="115" spans="1:27" x14ac:dyDescent="0.25">
      <c r="A115" s="73"/>
      <c r="B115" s="89"/>
      <c r="C115" s="561"/>
      <c r="D115" s="874"/>
      <c r="E115" s="875"/>
      <c r="F115" s="562"/>
      <c r="H115" s="50"/>
      <c r="I115" s="684"/>
      <c r="J115" s="684"/>
      <c r="K115" s="561"/>
      <c r="L115" s="89"/>
      <c r="M115" s="864"/>
      <c r="N115" s="865"/>
      <c r="P115" s="50"/>
      <c r="Q115" s="89"/>
      <c r="R115" s="860"/>
      <c r="S115" s="861"/>
      <c r="T115" s="89"/>
      <c r="U115" s="562"/>
      <c r="W115" s="29"/>
      <c r="X115" s="29"/>
      <c r="Y115" s="859" t="str" cm="1">
        <f t="array" ref="Y115">IFERROR(IF(IFERROR(_xlfn.IFNA(LOOKUP(2,1/('Project SqFt'!$A$18:$A$160=W115)/('Project SqFt'!$B$18:$B$160=X115),'Project SqFt'!$F$18:$F$160),LOOKUP(2,1/('Project SqFt'!$H$18:$H$160=W115)/('Project SqFt'!$I$18:$I$160=X115),'Project SqFt'!$M$18:$M$160)),LOOKUP(2,1/('Project SqFt'!$P$18:$P$160=W115)/('Project SqFt'!$Q$18:$Q$160=X115),'Project SqFt'!$U$18:$U$160))="","",IFERROR(_xlfn.IFNA(LOOKUP(2,1/('Project SqFt'!$A$18:$A$160=W115)/('Project SqFt'!$B$18:$B$160=X115),'Project SqFt'!$F$18:$F$160),LOOKUP(2,1/('Project SqFt'!$H$18:$H$160=W115)/('Project SqFt'!$I$18:$I$160=X115),'Project SqFt'!$M$18:$M$160)),LOOKUP(2,1/('Project SqFt'!$P$18:$P$160=W115)/('Project SqFt'!$Q$18:$Q$160=X115),'Project SqFt'!$U$18:$U$160))),"")</f>
        <v/>
      </c>
      <c r="Z115" s="725"/>
      <c r="AA115" s="194" t="str" cm="1">
        <f t="array" ref="AA115">IFERROR(IF(IFERROR(_xlfn.IFNA(LOOKUP(2,1/('Project SqFt'!$A$18:$A$160=W115)/('Project SqFt'!$B$18:$B$160=X115),'Project SqFt'!$D$18:$D$160),LOOKUP(2,1/('Project SqFt'!$H$18:$H$160=W115)/('Project SqFt'!$I$18:$I$160=X115),'Project SqFt'!$L$18:$L$160)),LOOKUP(2,1/('Project SqFt'!$P$18:$P$160=W115)/('Project SqFt'!$Q$18:$Q$160=X115),'Project SqFt'!$T$18:$T$160))="","",IFERROR(_xlfn.IFNA(LOOKUP(2,1/('Project SqFt'!$A$18:$A$160=W115)/('Project SqFt'!$B$18:$B$160=X115),'Project SqFt'!$D$18:$D$160),LOOKUP(2,1/('Project SqFt'!$H$18:$H$160=W115)/('Project SqFt'!$I$18:$I$160=X115),'Project SqFt'!$L$18:$L$160)),LOOKUP(2,1/('Project SqFt'!$P$18:$P$160=W115)/('Project SqFt'!$Q$18:$Q$160=X115),'Project SqFt'!$T$18:$T$160))),"")</f>
        <v/>
      </c>
    </row>
    <row r="116" spans="1:27" x14ac:dyDescent="0.25">
      <c r="A116" s="50"/>
      <c r="B116" s="89"/>
      <c r="C116" s="561"/>
      <c r="D116" s="874"/>
      <c r="E116" s="875"/>
      <c r="F116" s="562"/>
      <c r="H116" s="50"/>
      <c r="I116" s="684"/>
      <c r="J116" s="684"/>
      <c r="K116" s="561"/>
      <c r="L116" s="89"/>
      <c r="M116" s="864"/>
      <c r="N116" s="865"/>
      <c r="P116" s="50"/>
      <c r="Q116" s="89"/>
      <c r="R116" s="860"/>
      <c r="S116" s="861"/>
      <c r="T116" s="89"/>
      <c r="U116" s="562"/>
      <c r="W116" s="29"/>
      <c r="X116" s="29"/>
      <c r="Y116" s="859" t="str" cm="1">
        <f t="array" ref="Y116">IFERROR(IF(IFERROR(_xlfn.IFNA(LOOKUP(2,1/('Project SqFt'!$A$18:$A$160=W116)/('Project SqFt'!$B$18:$B$160=X116),'Project SqFt'!$F$18:$F$160),LOOKUP(2,1/('Project SqFt'!$H$18:$H$160=W116)/('Project SqFt'!$I$18:$I$160=X116),'Project SqFt'!$M$18:$M$160)),LOOKUP(2,1/('Project SqFt'!$P$18:$P$160=W116)/('Project SqFt'!$Q$18:$Q$160=X116),'Project SqFt'!$U$18:$U$160))="","",IFERROR(_xlfn.IFNA(LOOKUP(2,1/('Project SqFt'!$A$18:$A$160=W116)/('Project SqFt'!$B$18:$B$160=X116),'Project SqFt'!$F$18:$F$160),LOOKUP(2,1/('Project SqFt'!$H$18:$H$160=W116)/('Project SqFt'!$I$18:$I$160=X116),'Project SqFt'!$M$18:$M$160)),LOOKUP(2,1/('Project SqFt'!$P$18:$P$160=W116)/('Project SqFt'!$Q$18:$Q$160=X116),'Project SqFt'!$U$18:$U$160))),"")</f>
        <v/>
      </c>
      <c r="Z116" s="725"/>
      <c r="AA116" s="194" t="str" cm="1">
        <f t="array" ref="AA116">IFERROR(IF(IFERROR(_xlfn.IFNA(LOOKUP(2,1/('Project SqFt'!$A$18:$A$160=W116)/('Project SqFt'!$B$18:$B$160=X116),'Project SqFt'!$D$18:$D$160),LOOKUP(2,1/('Project SqFt'!$H$18:$H$160=W116)/('Project SqFt'!$I$18:$I$160=X116),'Project SqFt'!$L$18:$L$160)),LOOKUP(2,1/('Project SqFt'!$P$18:$P$160=W116)/('Project SqFt'!$Q$18:$Q$160=X116),'Project SqFt'!$T$18:$T$160))="","",IFERROR(_xlfn.IFNA(LOOKUP(2,1/('Project SqFt'!$A$18:$A$160=W116)/('Project SqFt'!$B$18:$B$160=X116),'Project SqFt'!$D$18:$D$160),LOOKUP(2,1/('Project SqFt'!$H$18:$H$160=W116)/('Project SqFt'!$I$18:$I$160=X116),'Project SqFt'!$L$18:$L$160)),LOOKUP(2,1/('Project SqFt'!$P$18:$P$160=W116)/('Project SqFt'!$Q$18:$Q$160=X116),'Project SqFt'!$T$18:$T$160))),"")</f>
        <v/>
      </c>
    </row>
    <row r="117" spans="1:27" x14ac:dyDescent="0.25">
      <c r="A117" s="73"/>
      <c r="B117" s="89"/>
      <c r="C117" s="561"/>
      <c r="D117" s="874"/>
      <c r="E117" s="875"/>
      <c r="F117" s="562"/>
      <c r="H117" s="50"/>
      <c r="I117" s="684"/>
      <c r="J117" s="684"/>
      <c r="K117" s="561"/>
      <c r="L117" s="89"/>
      <c r="M117" s="864"/>
      <c r="N117" s="865"/>
      <c r="P117" s="50"/>
      <c r="Q117" s="89"/>
      <c r="R117" s="860"/>
      <c r="S117" s="861"/>
      <c r="T117" s="89"/>
      <c r="U117" s="562"/>
      <c r="W117" s="29"/>
      <c r="X117" s="29"/>
      <c r="Y117" s="859" t="str" cm="1">
        <f t="array" ref="Y117">IFERROR(IF(IFERROR(_xlfn.IFNA(LOOKUP(2,1/('Project SqFt'!$A$18:$A$160=W117)/('Project SqFt'!$B$18:$B$160=X117),'Project SqFt'!$F$18:$F$160),LOOKUP(2,1/('Project SqFt'!$H$18:$H$160=W117)/('Project SqFt'!$I$18:$I$160=X117),'Project SqFt'!$M$18:$M$160)),LOOKUP(2,1/('Project SqFt'!$P$18:$P$160=W117)/('Project SqFt'!$Q$18:$Q$160=X117),'Project SqFt'!$U$18:$U$160))="","",IFERROR(_xlfn.IFNA(LOOKUP(2,1/('Project SqFt'!$A$18:$A$160=W117)/('Project SqFt'!$B$18:$B$160=X117),'Project SqFt'!$F$18:$F$160),LOOKUP(2,1/('Project SqFt'!$H$18:$H$160=W117)/('Project SqFt'!$I$18:$I$160=X117),'Project SqFt'!$M$18:$M$160)),LOOKUP(2,1/('Project SqFt'!$P$18:$P$160=W117)/('Project SqFt'!$Q$18:$Q$160=X117),'Project SqFt'!$U$18:$U$160))),"")</f>
        <v/>
      </c>
      <c r="Z117" s="725"/>
      <c r="AA117" s="194" t="str" cm="1">
        <f t="array" ref="AA117">IFERROR(IF(IFERROR(_xlfn.IFNA(LOOKUP(2,1/('Project SqFt'!$A$18:$A$160=W117)/('Project SqFt'!$B$18:$B$160=X117),'Project SqFt'!$D$18:$D$160),LOOKUP(2,1/('Project SqFt'!$H$18:$H$160=W117)/('Project SqFt'!$I$18:$I$160=X117),'Project SqFt'!$L$18:$L$160)),LOOKUP(2,1/('Project SqFt'!$P$18:$P$160=W117)/('Project SqFt'!$Q$18:$Q$160=X117),'Project SqFt'!$T$18:$T$160))="","",IFERROR(_xlfn.IFNA(LOOKUP(2,1/('Project SqFt'!$A$18:$A$160=W117)/('Project SqFt'!$B$18:$B$160=X117),'Project SqFt'!$D$18:$D$160),LOOKUP(2,1/('Project SqFt'!$H$18:$H$160=W117)/('Project SqFt'!$I$18:$I$160=X117),'Project SqFt'!$L$18:$L$160)),LOOKUP(2,1/('Project SqFt'!$P$18:$P$160=W117)/('Project SqFt'!$Q$18:$Q$160=X117),'Project SqFt'!$T$18:$T$160))),"")</f>
        <v/>
      </c>
    </row>
    <row r="118" spans="1:27" x14ac:dyDescent="0.25">
      <c r="A118" s="50"/>
      <c r="B118" s="89"/>
      <c r="C118" s="561"/>
      <c r="D118" s="874"/>
      <c r="E118" s="875"/>
      <c r="F118" s="562"/>
      <c r="H118" s="50"/>
      <c r="I118" s="684"/>
      <c r="J118" s="684"/>
      <c r="K118" s="561"/>
      <c r="L118" s="89"/>
      <c r="M118" s="864"/>
      <c r="N118" s="865"/>
      <c r="P118" s="50"/>
      <c r="Q118" s="89"/>
      <c r="R118" s="860"/>
      <c r="S118" s="861"/>
      <c r="T118" s="89"/>
      <c r="U118" s="562"/>
      <c r="W118" s="29"/>
      <c r="X118" s="29"/>
      <c r="Y118" s="859" t="str" cm="1">
        <f t="array" ref="Y118">IFERROR(IF(IFERROR(_xlfn.IFNA(LOOKUP(2,1/('Project SqFt'!$A$18:$A$160=W118)/('Project SqFt'!$B$18:$B$160=X118),'Project SqFt'!$F$18:$F$160),LOOKUP(2,1/('Project SqFt'!$H$18:$H$160=W118)/('Project SqFt'!$I$18:$I$160=X118),'Project SqFt'!$M$18:$M$160)),LOOKUP(2,1/('Project SqFt'!$P$18:$P$160=W118)/('Project SqFt'!$Q$18:$Q$160=X118),'Project SqFt'!$U$18:$U$160))="","",IFERROR(_xlfn.IFNA(LOOKUP(2,1/('Project SqFt'!$A$18:$A$160=W118)/('Project SqFt'!$B$18:$B$160=X118),'Project SqFt'!$F$18:$F$160),LOOKUP(2,1/('Project SqFt'!$H$18:$H$160=W118)/('Project SqFt'!$I$18:$I$160=X118),'Project SqFt'!$M$18:$M$160)),LOOKUP(2,1/('Project SqFt'!$P$18:$P$160=W118)/('Project SqFt'!$Q$18:$Q$160=X118),'Project SqFt'!$U$18:$U$160))),"")</f>
        <v/>
      </c>
      <c r="Z118" s="725"/>
      <c r="AA118" s="194" t="str" cm="1">
        <f t="array" ref="AA118">IFERROR(IF(IFERROR(_xlfn.IFNA(LOOKUP(2,1/('Project SqFt'!$A$18:$A$160=W118)/('Project SqFt'!$B$18:$B$160=X118),'Project SqFt'!$D$18:$D$160),LOOKUP(2,1/('Project SqFt'!$H$18:$H$160=W118)/('Project SqFt'!$I$18:$I$160=X118),'Project SqFt'!$L$18:$L$160)),LOOKUP(2,1/('Project SqFt'!$P$18:$P$160=W118)/('Project SqFt'!$Q$18:$Q$160=X118),'Project SqFt'!$T$18:$T$160))="","",IFERROR(_xlfn.IFNA(LOOKUP(2,1/('Project SqFt'!$A$18:$A$160=W118)/('Project SqFt'!$B$18:$B$160=X118),'Project SqFt'!$D$18:$D$160),LOOKUP(2,1/('Project SqFt'!$H$18:$H$160=W118)/('Project SqFt'!$I$18:$I$160=X118),'Project SqFt'!$L$18:$L$160)),LOOKUP(2,1/('Project SqFt'!$P$18:$P$160=W118)/('Project SqFt'!$Q$18:$Q$160=X118),'Project SqFt'!$T$18:$T$160))),"")</f>
        <v/>
      </c>
    </row>
    <row r="119" spans="1:27" x14ac:dyDescent="0.25">
      <c r="A119" s="73"/>
      <c r="B119" s="89"/>
      <c r="C119" s="561"/>
      <c r="D119" s="874"/>
      <c r="E119" s="875"/>
      <c r="F119" s="562"/>
      <c r="H119" s="50"/>
      <c r="I119" s="684"/>
      <c r="J119" s="684"/>
      <c r="K119" s="561"/>
      <c r="L119" s="89"/>
      <c r="M119" s="864"/>
      <c r="N119" s="865"/>
      <c r="P119" s="50"/>
      <c r="Q119" s="89"/>
      <c r="R119" s="860"/>
      <c r="S119" s="861"/>
      <c r="T119" s="89"/>
      <c r="U119" s="562"/>
      <c r="W119" s="29"/>
      <c r="X119" s="29"/>
      <c r="Y119" s="859" t="str" cm="1">
        <f t="array" ref="Y119">IFERROR(IF(IFERROR(_xlfn.IFNA(LOOKUP(2,1/('Project SqFt'!$A$18:$A$160=W119)/('Project SqFt'!$B$18:$B$160=X119),'Project SqFt'!$F$18:$F$160),LOOKUP(2,1/('Project SqFt'!$H$18:$H$160=W119)/('Project SqFt'!$I$18:$I$160=X119),'Project SqFt'!$M$18:$M$160)),LOOKUP(2,1/('Project SqFt'!$P$18:$P$160=W119)/('Project SqFt'!$Q$18:$Q$160=X119),'Project SqFt'!$U$18:$U$160))="","",IFERROR(_xlfn.IFNA(LOOKUP(2,1/('Project SqFt'!$A$18:$A$160=W119)/('Project SqFt'!$B$18:$B$160=X119),'Project SqFt'!$F$18:$F$160),LOOKUP(2,1/('Project SqFt'!$H$18:$H$160=W119)/('Project SqFt'!$I$18:$I$160=X119),'Project SqFt'!$M$18:$M$160)),LOOKUP(2,1/('Project SqFt'!$P$18:$P$160=W119)/('Project SqFt'!$Q$18:$Q$160=X119),'Project SqFt'!$U$18:$U$160))),"")</f>
        <v/>
      </c>
      <c r="Z119" s="725"/>
      <c r="AA119" s="194" t="str" cm="1">
        <f t="array" ref="AA119">IFERROR(IF(IFERROR(_xlfn.IFNA(LOOKUP(2,1/('Project SqFt'!$A$18:$A$160=W119)/('Project SqFt'!$B$18:$B$160=X119),'Project SqFt'!$D$18:$D$160),LOOKUP(2,1/('Project SqFt'!$H$18:$H$160=W119)/('Project SqFt'!$I$18:$I$160=X119),'Project SqFt'!$L$18:$L$160)),LOOKUP(2,1/('Project SqFt'!$P$18:$P$160=W119)/('Project SqFt'!$Q$18:$Q$160=X119),'Project SqFt'!$T$18:$T$160))="","",IFERROR(_xlfn.IFNA(LOOKUP(2,1/('Project SqFt'!$A$18:$A$160=W119)/('Project SqFt'!$B$18:$B$160=X119),'Project SqFt'!$D$18:$D$160),LOOKUP(2,1/('Project SqFt'!$H$18:$H$160=W119)/('Project SqFt'!$I$18:$I$160=X119),'Project SqFt'!$L$18:$L$160)),LOOKUP(2,1/('Project SqFt'!$P$18:$P$160=W119)/('Project SqFt'!$Q$18:$Q$160=X119),'Project SqFt'!$T$18:$T$160))),"")</f>
        <v/>
      </c>
    </row>
    <row r="120" spans="1:27" x14ac:dyDescent="0.25">
      <c r="A120" s="50"/>
      <c r="B120" s="89"/>
      <c r="C120" s="561"/>
      <c r="D120" s="874"/>
      <c r="E120" s="875"/>
      <c r="F120" s="562"/>
      <c r="H120" s="50"/>
      <c r="I120" s="684"/>
      <c r="J120" s="684"/>
      <c r="K120" s="561"/>
      <c r="L120" s="89"/>
      <c r="M120" s="864"/>
      <c r="N120" s="865"/>
      <c r="P120" s="50"/>
      <c r="Q120" s="89"/>
      <c r="R120" s="860"/>
      <c r="S120" s="861"/>
      <c r="T120" s="89"/>
      <c r="U120" s="562"/>
      <c r="W120" s="29"/>
      <c r="X120" s="29"/>
      <c r="Y120" s="859" t="str" cm="1">
        <f t="array" ref="Y120">IFERROR(IF(IFERROR(_xlfn.IFNA(LOOKUP(2,1/('Project SqFt'!$A$18:$A$160=W120)/('Project SqFt'!$B$18:$B$160=X120),'Project SqFt'!$F$18:$F$160),LOOKUP(2,1/('Project SqFt'!$H$18:$H$160=W120)/('Project SqFt'!$I$18:$I$160=X120),'Project SqFt'!$M$18:$M$160)),LOOKUP(2,1/('Project SqFt'!$P$18:$P$160=W120)/('Project SqFt'!$Q$18:$Q$160=X120),'Project SqFt'!$U$18:$U$160))="","",IFERROR(_xlfn.IFNA(LOOKUP(2,1/('Project SqFt'!$A$18:$A$160=W120)/('Project SqFt'!$B$18:$B$160=X120),'Project SqFt'!$F$18:$F$160),LOOKUP(2,1/('Project SqFt'!$H$18:$H$160=W120)/('Project SqFt'!$I$18:$I$160=X120),'Project SqFt'!$M$18:$M$160)),LOOKUP(2,1/('Project SqFt'!$P$18:$P$160=W120)/('Project SqFt'!$Q$18:$Q$160=X120),'Project SqFt'!$U$18:$U$160))),"")</f>
        <v/>
      </c>
      <c r="Z120" s="725"/>
      <c r="AA120" s="194" t="str" cm="1">
        <f t="array" ref="AA120">IFERROR(IF(IFERROR(_xlfn.IFNA(LOOKUP(2,1/('Project SqFt'!$A$18:$A$160=W120)/('Project SqFt'!$B$18:$B$160=X120),'Project SqFt'!$D$18:$D$160),LOOKUP(2,1/('Project SqFt'!$H$18:$H$160=W120)/('Project SqFt'!$I$18:$I$160=X120),'Project SqFt'!$L$18:$L$160)),LOOKUP(2,1/('Project SqFt'!$P$18:$P$160=W120)/('Project SqFt'!$Q$18:$Q$160=X120),'Project SqFt'!$T$18:$T$160))="","",IFERROR(_xlfn.IFNA(LOOKUP(2,1/('Project SqFt'!$A$18:$A$160=W120)/('Project SqFt'!$B$18:$B$160=X120),'Project SqFt'!$D$18:$D$160),LOOKUP(2,1/('Project SqFt'!$H$18:$H$160=W120)/('Project SqFt'!$I$18:$I$160=X120),'Project SqFt'!$L$18:$L$160)),LOOKUP(2,1/('Project SqFt'!$P$18:$P$160=W120)/('Project SqFt'!$Q$18:$Q$160=X120),'Project SqFt'!$T$18:$T$160))),"")</f>
        <v/>
      </c>
    </row>
    <row r="121" spans="1:27" x14ac:dyDescent="0.25">
      <c r="A121" s="73"/>
      <c r="B121" s="89"/>
      <c r="C121" s="561"/>
      <c r="D121" s="874"/>
      <c r="E121" s="875"/>
      <c r="F121" s="562"/>
      <c r="H121" s="50"/>
      <c r="I121" s="684"/>
      <c r="J121" s="684"/>
      <c r="K121" s="561"/>
      <c r="L121" s="89"/>
      <c r="M121" s="864"/>
      <c r="N121" s="865"/>
      <c r="P121" s="50"/>
      <c r="Q121" s="89"/>
      <c r="R121" s="860"/>
      <c r="S121" s="861"/>
      <c r="T121" s="89"/>
      <c r="U121" s="562"/>
      <c r="W121" s="29"/>
      <c r="X121" s="29"/>
      <c r="Y121" s="859" t="str" cm="1">
        <f t="array" ref="Y121">IFERROR(IF(IFERROR(_xlfn.IFNA(LOOKUP(2,1/('Project SqFt'!$A$18:$A$160=W121)/('Project SqFt'!$B$18:$B$160=X121),'Project SqFt'!$F$18:$F$160),LOOKUP(2,1/('Project SqFt'!$H$18:$H$160=W121)/('Project SqFt'!$I$18:$I$160=X121),'Project SqFt'!$M$18:$M$160)),LOOKUP(2,1/('Project SqFt'!$P$18:$P$160=W121)/('Project SqFt'!$Q$18:$Q$160=X121),'Project SqFt'!$U$18:$U$160))="","",IFERROR(_xlfn.IFNA(LOOKUP(2,1/('Project SqFt'!$A$18:$A$160=W121)/('Project SqFt'!$B$18:$B$160=X121),'Project SqFt'!$F$18:$F$160),LOOKUP(2,1/('Project SqFt'!$H$18:$H$160=W121)/('Project SqFt'!$I$18:$I$160=X121),'Project SqFt'!$M$18:$M$160)),LOOKUP(2,1/('Project SqFt'!$P$18:$P$160=W121)/('Project SqFt'!$Q$18:$Q$160=X121),'Project SqFt'!$U$18:$U$160))),"")</f>
        <v/>
      </c>
      <c r="Z121" s="725"/>
      <c r="AA121" s="194" t="str" cm="1">
        <f t="array" ref="AA121">IFERROR(IF(IFERROR(_xlfn.IFNA(LOOKUP(2,1/('Project SqFt'!$A$18:$A$160=W121)/('Project SqFt'!$B$18:$B$160=X121),'Project SqFt'!$D$18:$D$160),LOOKUP(2,1/('Project SqFt'!$H$18:$H$160=W121)/('Project SqFt'!$I$18:$I$160=X121),'Project SqFt'!$L$18:$L$160)),LOOKUP(2,1/('Project SqFt'!$P$18:$P$160=W121)/('Project SqFt'!$Q$18:$Q$160=X121),'Project SqFt'!$T$18:$T$160))="","",IFERROR(_xlfn.IFNA(LOOKUP(2,1/('Project SqFt'!$A$18:$A$160=W121)/('Project SqFt'!$B$18:$B$160=X121),'Project SqFt'!$D$18:$D$160),LOOKUP(2,1/('Project SqFt'!$H$18:$H$160=W121)/('Project SqFt'!$I$18:$I$160=X121),'Project SqFt'!$L$18:$L$160)),LOOKUP(2,1/('Project SqFt'!$P$18:$P$160=W121)/('Project SqFt'!$Q$18:$Q$160=X121),'Project SqFt'!$T$18:$T$160))),"")</f>
        <v/>
      </c>
    </row>
    <row r="122" spans="1:27" x14ac:dyDescent="0.25">
      <c r="A122" s="50"/>
      <c r="B122" s="89"/>
      <c r="C122" s="561"/>
      <c r="D122" s="874"/>
      <c r="E122" s="875"/>
      <c r="F122" s="562"/>
      <c r="H122" s="50"/>
      <c r="I122" s="684"/>
      <c r="J122" s="684"/>
      <c r="K122" s="561"/>
      <c r="L122" s="89"/>
      <c r="M122" s="864"/>
      <c r="N122" s="865"/>
      <c r="P122" s="50"/>
      <c r="Q122" s="89"/>
      <c r="R122" s="860"/>
      <c r="S122" s="861"/>
      <c r="T122" s="89"/>
      <c r="U122" s="562"/>
      <c r="W122" s="29"/>
      <c r="X122" s="29"/>
      <c r="Y122" s="859" t="str" cm="1">
        <f t="array" ref="Y122">IFERROR(IF(IFERROR(_xlfn.IFNA(LOOKUP(2,1/('Project SqFt'!$A$18:$A$160=W122)/('Project SqFt'!$B$18:$B$160=X122),'Project SqFt'!$F$18:$F$160),LOOKUP(2,1/('Project SqFt'!$H$18:$H$160=W122)/('Project SqFt'!$I$18:$I$160=X122),'Project SqFt'!$M$18:$M$160)),LOOKUP(2,1/('Project SqFt'!$P$18:$P$160=W122)/('Project SqFt'!$Q$18:$Q$160=X122),'Project SqFt'!$U$18:$U$160))="","",IFERROR(_xlfn.IFNA(LOOKUP(2,1/('Project SqFt'!$A$18:$A$160=W122)/('Project SqFt'!$B$18:$B$160=X122),'Project SqFt'!$F$18:$F$160),LOOKUP(2,1/('Project SqFt'!$H$18:$H$160=W122)/('Project SqFt'!$I$18:$I$160=X122),'Project SqFt'!$M$18:$M$160)),LOOKUP(2,1/('Project SqFt'!$P$18:$P$160=W122)/('Project SqFt'!$Q$18:$Q$160=X122),'Project SqFt'!$U$18:$U$160))),"")</f>
        <v/>
      </c>
      <c r="Z122" s="725"/>
      <c r="AA122" s="194" t="str" cm="1">
        <f t="array" ref="AA122">IFERROR(IF(IFERROR(_xlfn.IFNA(LOOKUP(2,1/('Project SqFt'!$A$18:$A$160=W122)/('Project SqFt'!$B$18:$B$160=X122),'Project SqFt'!$D$18:$D$160),LOOKUP(2,1/('Project SqFt'!$H$18:$H$160=W122)/('Project SqFt'!$I$18:$I$160=X122),'Project SqFt'!$L$18:$L$160)),LOOKUP(2,1/('Project SqFt'!$P$18:$P$160=W122)/('Project SqFt'!$Q$18:$Q$160=X122),'Project SqFt'!$T$18:$T$160))="","",IFERROR(_xlfn.IFNA(LOOKUP(2,1/('Project SqFt'!$A$18:$A$160=W122)/('Project SqFt'!$B$18:$B$160=X122),'Project SqFt'!$D$18:$D$160),LOOKUP(2,1/('Project SqFt'!$H$18:$H$160=W122)/('Project SqFt'!$I$18:$I$160=X122),'Project SqFt'!$L$18:$L$160)),LOOKUP(2,1/('Project SqFt'!$P$18:$P$160=W122)/('Project SqFt'!$Q$18:$Q$160=X122),'Project SqFt'!$T$18:$T$160))),"")</f>
        <v/>
      </c>
    </row>
    <row r="123" spans="1:27" x14ac:dyDescent="0.25">
      <c r="A123" s="73"/>
      <c r="B123" s="89"/>
      <c r="C123" s="561"/>
      <c r="D123" s="874"/>
      <c r="E123" s="875"/>
      <c r="F123" s="562"/>
      <c r="H123" s="50"/>
      <c r="I123" s="684"/>
      <c r="J123" s="684"/>
      <c r="K123" s="561"/>
      <c r="L123" s="89"/>
      <c r="M123" s="864"/>
      <c r="N123" s="865"/>
      <c r="P123" s="50"/>
      <c r="Q123" s="89"/>
      <c r="R123" s="860"/>
      <c r="S123" s="861"/>
      <c r="T123" s="89"/>
      <c r="U123" s="562"/>
      <c r="W123" s="29"/>
      <c r="X123" s="29"/>
      <c r="Y123" s="859" t="str" cm="1">
        <f t="array" ref="Y123">IFERROR(IF(IFERROR(_xlfn.IFNA(LOOKUP(2,1/('Project SqFt'!$A$18:$A$160=W123)/('Project SqFt'!$B$18:$B$160=X123),'Project SqFt'!$F$18:$F$160),LOOKUP(2,1/('Project SqFt'!$H$18:$H$160=W123)/('Project SqFt'!$I$18:$I$160=X123),'Project SqFt'!$M$18:$M$160)),LOOKUP(2,1/('Project SqFt'!$P$18:$P$160=W123)/('Project SqFt'!$Q$18:$Q$160=X123),'Project SqFt'!$U$18:$U$160))="","",IFERROR(_xlfn.IFNA(LOOKUP(2,1/('Project SqFt'!$A$18:$A$160=W123)/('Project SqFt'!$B$18:$B$160=X123),'Project SqFt'!$F$18:$F$160),LOOKUP(2,1/('Project SqFt'!$H$18:$H$160=W123)/('Project SqFt'!$I$18:$I$160=X123),'Project SqFt'!$M$18:$M$160)),LOOKUP(2,1/('Project SqFt'!$P$18:$P$160=W123)/('Project SqFt'!$Q$18:$Q$160=X123),'Project SqFt'!$U$18:$U$160))),"")</f>
        <v/>
      </c>
      <c r="Z123" s="725"/>
      <c r="AA123" s="194" t="str" cm="1">
        <f t="array" ref="AA123">IFERROR(IF(IFERROR(_xlfn.IFNA(LOOKUP(2,1/('Project SqFt'!$A$18:$A$160=W123)/('Project SqFt'!$B$18:$B$160=X123),'Project SqFt'!$D$18:$D$160),LOOKUP(2,1/('Project SqFt'!$H$18:$H$160=W123)/('Project SqFt'!$I$18:$I$160=X123),'Project SqFt'!$L$18:$L$160)),LOOKUP(2,1/('Project SqFt'!$P$18:$P$160=W123)/('Project SqFt'!$Q$18:$Q$160=X123),'Project SqFt'!$T$18:$T$160))="","",IFERROR(_xlfn.IFNA(LOOKUP(2,1/('Project SqFt'!$A$18:$A$160=W123)/('Project SqFt'!$B$18:$B$160=X123),'Project SqFt'!$D$18:$D$160),LOOKUP(2,1/('Project SqFt'!$H$18:$H$160=W123)/('Project SqFt'!$I$18:$I$160=X123),'Project SqFt'!$L$18:$L$160)),LOOKUP(2,1/('Project SqFt'!$P$18:$P$160=W123)/('Project SqFt'!$Q$18:$Q$160=X123),'Project SqFt'!$T$18:$T$160))),"")</f>
        <v/>
      </c>
    </row>
    <row r="124" spans="1:27" x14ac:dyDescent="0.25">
      <c r="A124" s="50"/>
      <c r="B124" s="89"/>
      <c r="C124" s="561"/>
      <c r="D124" s="874"/>
      <c r="E124" s="875"/>
      <c r="F124" s="562"/>
      <c r="H124" s="50"/>
      <c r="I124" s="684"/>
      <c r="J124" s="684"/>
      <c r="K124" s="561"/>
      <c r="L124" s="89"/>
      <c r="M124" s="864"/>
      <c r="N124" s="865"/>
      <c r="P124" s="50"/>
      <c r="Q124" s="89"/>
      <c r="R124" s="860"/>
      <c r="S124" s="861"/>
      <c r="T124" s="89"/>
      <c r="U124" s="562"/>
      <c r="W124" s="29"/>
      <c r="X124" s="29"/>
      <c r="Y124" s="859" t="str" cm="1">
        <f t="array" ref="Y124">IFERROR(IF(IFERROR(_xlfn.IFNA(LOOKUP(2,1/('Project SqFt'!$A$18:$A$160=W124)/('Project SqFt'!$B$18:$B$160=X124),'Project SqFt'!$F$18:$F$160),LOOKUP(2,1/('Project SqFt'!$H$18:$H$160=W124)/('Project SqFt'!$I$18:$I$160=X124),'Project SqFt'!$M$18:$M$160)),LOOKUP(2,1/('Project SqFt'!$P$18:$P$160=W124)/('Project SqFt'!$Q$18:$Q$160=X124),'Project SqFt'!$U$18:$U$160))="","",IFERROR(_xlfn.IFNA(LOOKUP(2,1/('Project SqFt'!$A$18:$A$160=W124)/('Project SqFt'!$B$18:$B$160=X124),'Project SqFt'!$F$18:$F$160),LOOKUP(2,1/('Project SqFt'!$H$18:$H$160=W124)/('Project SqFt'!$I$18:$I$160=X124),'Project SqFt'!$M$18:$M$160)),LOOKUP(2,1/('Project SqFt'!$P$18:$P$160=W124)/('Project SqFt'!$Q$18:$Q$160=X124),'Project SqFt'!$U$18:$U$160))),"")</f>
        <v/>
      </c>
      <c r="Z124" s="725"/>
      <c r="AA124" s="194" t="str" cm="1">
        <f t="array" ref="AA124">IFERROR(IF(IFERROR(_xlfn.IFNA(LOOKUP(2,1/('Project SqFt'!$A$18:$A$160=W124)/('Project SqFt'!$B$18:$B$160=X124),'Project SqFt'!$D$18:$D$160),LOOKUP(2,1/('Project SqFt'!$H$18:$H$160=W124)/('Project SqFt'!$I$18:$I$160=X124),'Project SqFt'!$L$18:$L$160)),LOOKUP(2,1/('Project SqFt'!$P$18:$P$160=W124)/('Project SqFt'!$Q$18:$Q$160=X124),'Project SqFt'!$T$18:$T$160))="","",IFERROR(_xlfn.IFNA(LOOKUP(2,1/('Project SqFt'!$A$18:$A$160=W124)/('Project SqFt'!$B$18:$B$160=X124),'Project SqFt'!$D$18:$D$160),LOOKUP(2,1/('Project SqFt'!$H$18:$H$160=W124)/('Project SqFt'!$I$18:$I$160=X124),'Project SqFt'!$L$18:$L$160)),LOOKUP(2,1/('Project SqFt'!$P$18:$P$160=W124)/('Project SqFt'!$Q$18:$Q$160=X124),'Project SqFt'!$T$18:$T$160))),"")</f>
        <v/>
      </c>
    </row>
    <row r="125" spans="1:27" x14ac:dyDescent="0.25">
      <c r="A125" s="73"/>
      <c r="B125" s="89"/>
      <c r="C125" s="561"/>
      <c r="D125" s="874"/>
      <c r="E125" s="875"/>
      <c r="F125" s="562"/>
      <c r="H125" s="50"/>
      <c r="I125" s="684"/>
      <c r="J125" s="684"/>
      <c r="K125" s="561"/>
      <c r="L125" s="89"/>
      <c r="M125" s="864"/>
      <c r="N125" s="865"/>
      <c r="P125" s="50"/>
      <c r="Q125" s="89"/>
      <c r="R125" s="860"/>
      <c r="S125" s="861"/>
      <c r="T125" s="89"/>
      <c r="U125" s="562"/>
      <c r="W125" s="29"/>
      <c r="X125" s="29"/>
      <c r="Y125" s="859" t="str" cm="1">
        <f t="array" ref="Y125">IFERROR(IF(IFERROR(_xlfn.IFNA(LOOKUP(2,1/('Project SqFt'!$A$18:$A$160=W125)/('Project SqFt'!$B$18:$B$160=X125),'Project SqFt'!$F$18:$F$160),LOOKUP(2,1/('Project SqFt'!$H$18:$H$160=W125)/('Project SqFt'!$I$18:$I$160=X125),'Project SqFt'!$M$18:$M$160)),LOOKUP(2,1/('Project SqFt'!$P$18:$P$160=W125)/('Project SqFt'!$Q$18:$Q$160=X125),'Project SqFt'!$U$18:$U$160))="","",IFERROR(_xlfn.IFNA(LOOKUP(2,1/('Project SqFt'!$A$18:$A$160=W125)/('Project SqFt'!$B$18:$B$160=X125),'Project SqFt'!$F$18:$F$160),LOOKUP(2,1/('Project SqFt'!$H$18:$H$160=W125)/('Project SqFt'!$I$18:$I$160=X125),'Project SqFt'!$M$18:$M$160)),LOOKUP(2,1/('Project SqFt'!$P$18:$P$160=W125)/('Project SqFt'!$Q$18:$Q$160=X125),'Project SqFt'!$U$18:$U$160))),"")</f>
        <v/>
      </c>
      <c r="Z125" s="725"/>
      <c r="AA125" s="194" t="str" cm="1">
        <f t="array" ref="AA125">IFERROR(IF(IFERROR(_xlfn.IFNA(LOOKUP(2,1/('Project SqFt'!$A$18:$A$160=W125)/('Project SqFt'!$B$18:$B$160=X125),'Project SqFt'!$D$18:$D$160),LOOKUP(2,1/('Project SqFt'!$H$18:$H$160=W125)/('Project SqFt'!$I$18:$I$160=X125),'Project SqFt'!$L$18:$L$160)),LOOKUP(2,1/('Project SqFt'!$P$18:$P$160=W125)/('Project SqFt'!$Q$18:$Q$160=X125),'Project SqFt'!$T$18:$T$160))="","",IFERROR(_xlfn.IFNA(LOOKUP(2,1/('Project SqFt'!$A$18:$A$160=W125)/('Project SqFt'!$B$18:$B$160=X125),'Project SqFt'!$D$18:$D$160),LOOKUP(2,1/('Project SqFt'!$H$18:$H$160=W125)/('Project SqFt'!$I$18:$I$160=X125),'Project SqFt'!$L$18:$L$160)),LOOKUP(2,1/('Project SqFt'!$P$18:$P$160=W125)/('Project SqFt'!$Q$18:$Q$160=X125),'Project SqFt'!$T$18:$T$160))),"")</f>
        <v/>
      </c>
    </row>
    <row r="126" spans="1:27" x14ac:dyDescent="0.25">
      <c r="A126" s="50"/>
      <c r="B126" s="89"/>
      <c r="C126" s="561"/>
      <c r="D126" s="874"/>
      <c r="E126" s="875"/>
      <c r="F126" s="562"/>
      <c r="H126" s="50"/>
      <c r="I126" s="684"/>
      <c r="J126" s="684"/>
      <c r="K126" s="561"/>
      <c r="L126" s="89"/>
      <c r="M126" s="864"/>
      <c r="N126" s="865"/>
      <c r="P126" s="50"/>
      <c r="Q126" s="89"/>
      <c r="R126" s="860"/>
      <c r="S126" s="861"/>
      <c r="T126" s="89"/>
      <c r="U126" s="562"/>
      <c r="W126" s="29"/>
      <c r="X126" s="29"/>
      <c r="Y126" s="859" t="str" cm="1">
        <f t="array" ref="Y126">IFERROR(IF(IFERROR(_xlfn.IFNA(LOOKUP(2,1/('Project SqFt'!$A$18:$A$160=W126)/('Project SqFt'!$B$18:$B$160=X126),'Project SqFt'!$F$18:$F$160),LOOKUP(2,1/('Project SqFt'!$H$18:$H$160=W126)/('Project SqFt'!$I$18:$I$160=X126),'Project SqFt'!$M$18:$M$160)),LOOKUP(2,1/('Project SqFt'!$P$18:$P$160=W126)/('Project SqFt'!$Q$18:$Q$160=X126),'Project SqFt'!$U$18:$U$160))="","",IFERROR(_xlfn.IFNA(LOOKUP(2,1/('Project SqFt'!$A$18:$A$160=W126)/('Project SqFt'!$B$18:$B$160=X126),'Project SqFt'!$F$18:$F$160),LOOKUP(2,1/('Project SqFt'!$H$18:$H$160=W126)/('Project SqFt'!$I$18:$I$160=X126),'Project SqFt'!$M$18:$M$160)),LOOKUP(2,1/('Project SqFt'!$P$18:$P$160=W126)/('Project SqFt'!$Q$18:$Q$160=X126),'Project SqFt'!$U$18:$U$160))),"")</f>
        <v/>
      </c>
      <c r="Z126" s="725"/>
      <c r="AA126" s="194" t="str" cm="1">
        <f t="array" ref="AA126">IFERROR(IF(IFERROR(_xlfn.IFNA(LOOKUP(2,1/('Project SqFt'!$A$18:$A$160=W126)/('Project SqFt'!$B$18:$B$160=X126),'Project SqFt'!$D$18:$D$160),LOOKUP(2,1/('Project SqFt'!$H$18:$H$160=W126)/('Project SqFt'!$I$18:$I$160=X126),'Project SqFt'!$L$18:$L$160)),LOOKUP(2,1/('Project SqFt'!$P$18:$P$160=W126)/('Project SqFt'!$Q$18:$Q$160=X126),'Project SqFt'!$T$18:$T$160))="","",IFERROR(_xlfn.IFNA(LOOKUP(2,1/('Project SqFt'!$A$18:$A$160=W126)/('Project SqFt'!$B$18:$B$160=X126),'Project SqFt'!$D$18:$D$160),LOOKUP(2,1/('Project SqFt'!$H$18:$H$160=W126)/('Project SqFt'!$I$18:$I$160=X126),'Project SqFt'!$L$18:$L$160)),LOOKUP(2,1/('Project SqFt'!$P$18:$P$160=W126)/('Project SqFt'!$Q$18:$Q$160=X126),'Project SqFt'!$T$18:$T$160))),"")</f>
        <v/>
      </c>
    </row>
    <row r="127" spans="1:27" x14ac:dyDescent="0.25">
      <c r="A127" s="73"/>
      <c r="B127" s="89"/>
      <c r="C127" s="561"/>
      <c r="D127" s="874"/>
      <c r="E127" s="875"/>
      <c r="F127" s="562"/>
      <c r="H127" s="50"/>
      <c r="I127" s="684"/>
      <c r="J127" s="684"/>
      <c r="K127" s="561"/>
      <c r="L127" s="89"/>
      <c r="M127" s="864"/>
      <c r="N127" s="865"/>
      <c r="P127" s="50"/>
      <c r="Q127" s="89"/>
      <c r="R127" s="860"/>
      <c r="S127" s="861"/>
      <c r="T127" s="89"/>
      <c r="U127" s="562"/>
      <c r="W127" s="29"/>
      <c r="X127" s="29"/>
      <c r="Y127" s="859" t="str" cm="1">
        <f t="array" ref="Y127">IFERROR(IF(IFERROR(_xlfn.IFNA(LOOKUP(2,1/('Project SqFt'!$A$18:$A$160=W127)/('Project SqFt'!$B$18:$B$160=X127),'Project SqFt'!$F$18:$F$160),LOOKUP(2,1/('Project SqFt'!$H$18:$H$160=W127)/('Project SqFt'!$I$18:$I$160=X127),'Project SqFt'!$M$18:$M$160)),LOOKUP(2,1/('Project SqFt'!$P$18:$P$160=W127)/('Project SqFt'!$Q$18:$Q$160=X127),'Project SqFt'!$U$18:$U$160))="","",IFERROR(_xlfn.IFNA(LOOKUP(2,1/('Project SqFt'!$A$18:$A$160=W127)/('Project SqFt'!$B$18:$B$160=X127),'Project SqFt'!$F$18:$F$160),LOOKUP(2,1/('Project SqFt'!$H$18:$H$160=W127)/('Project SqFt'!$I$18:$I$160=X127),'Project SqFt'!$M$18:$M$160)),LOOKUP(2,1/('Project SqFt'!$P$18:$P$160=W127)/('Project SqFt'!$Q$18:$Q$160=X127),'Project SqFt'!$U$18:$U$160))),"")</f>
        <v/>
      </c>
      <c r="Z127" s="725"/>
      <c r="AA127" s="194" t="str" cm="1">
        <f t="array" ref="AA127">IFERROR(IF(IFERROR(_xlfn.IFNA(LOOKUP(2,1/('Project SqFt'!$A$18:$A$160=W127)/('Project SqFt'!$B$18:$B$160=X127),'Project SqFt'!$D$18:$D$160),LOOKUP(2,1/('Project SqFt'!$H$18:$H$160=W127)/('Project SqFt'!$I$18:$I$160=X127),'Project SqFt'!$L$18:$L$160)),LOOKUP(2,1/('Project SqFt'!$P$18:$P$160=W127)/('Project SqFt'!$Q$18:$Q$160=X127),'Project SqFt'!$T$18:$T$160))="","",IFERROR(_xlfn.IFNA(LOOKUP(2,1/('Project SqFt'!$A$18:$A$160=W127)/('Project SqFt'!$B$18:$B$160=X127),'Project SqFt'!$D$18:$D$160),LOOKUP(2,1/('Project SqFt'!$H$18:$H$160=W127)/('Project SqFt'!$I$18:$I$160=X127),'Project SqFt'!$L$18:$L$160)),LOOKUP(2,1/('Project SqFt'!$P$18:$P$160=W127)/('Project SqFt'!$Q$18:$Q$160=X127),'Project SqFt'!$T$18:$T$160))),"")</f>
        <v/>
      </c>
    </row>
    <row r="128" spans="1:27" x14ac:dyDescent="0.25">
      <c r="A128" s="50"/>
      <c r="B128" s="89"/>
      <c r="C128" s="561"/>
      <c r="D128" s="874"/>
      <c r="E128" s="875"/>
      <c r="F128" s="562"/>
      <c r="H128" s="50"/>
      <c r="I128" s="684"/>
      <c r="J128" s="684"/>
      <c r="K128" s="561"/>
      <c r="L128" s="89"/>
      <c r="M128" s="864"/>
      <c r="N128" s="865"/>
      <c r="P128" s="50"/>
      <c r="Q128" s="89"/>
      <c r="R128" s="860"/>
      <c r="S128" s="861"/>
      <c r="T128" s="89"/>
      <c r="U128" s="562"/>
      <c r="W128" s="29"/>
      <c r="X128" s="29"/>
      <c r="Y128" s="859" t="str" cm="1">
        <f t="array" ref="Y128">IFERROR(IF(IFERROR(_xlfn.IFNA(LOOKUP(2,1/('Project SqFt'!$A$18:$A$160=W128)/('Project SqFt'!$B$18:$B$160=X128),'Project SqFt'!$F$18:$F$160),LOOKUP(2,1/('Project SqFt'!$H$18:$H$160=W128)/('Project SqFt'!$I$18:$I$160=X128),'Project SqFt'!$M$18:$M$160)),LOOKUP(2,1/('Project SqFt'!$P$18:$P$160=W128)/('Project SqFt'!$Q$18:$Q$160=X128),'Project SqFt'!$U$18:$U$160))="","",IFERROR(_xlfn.IFNA(LOOKUP(2,1/('Project SqFt'!$A$18:$A$160=W128)/('Project SqFt'!$B$18:$B$160=X128),'Project SqFt'!$F$18:$F$160),LOOKUP(2,1/('Project SqFt'!$H$18:$H$160=W128)/('Project SqFt'!$I$18:$I$160=X128),'Project SqFt'!$M$18:$M$160)),LOOKUP(2,1/('Project SqFt'!$P$18:$P$160=W128)/('Project SqFt'!$Q$18:$Q$160=X128),'Project SqFt'!$U$18:$U$160))),"")</f>
        <v/>
      </c>
      <c r="Z128" s="725"/>
      <c r="AA128" s="194" t="str" cm="1">
        <f t="array" ref="AA128">IFERROR(IF(IFERROR(_xlfn.IFNA(LOOKUP(2,1/('Project SqFt'!$A$18:$A$160=W128)/('Project SqFt'!$B$18:$B$160=X128),'Project SqFt'!$D$18:$D$160),LOOKUP(2,1/('Project SqFt'!$H$18:$H$160=W128)/('Project SqFt'!$I$18:$I$160=X128),'Project SqFt'!$L$18:$L$160)),LOOKUP(2,1/('Project SqFt'!$P$18:$P$160=W128)/('Project SqFt'!$Q$18:$Q$160=X128),'Project SqFt'!$T$18:$T$160))="","",IFERROR(_xlfn.IFNA(LOOKUP(2,1/('Project SqFt'!$A$18:$A$160=W128)/('Project SqFt'!$B$18:$B$160=X128),'Project SqFt'!$D$18:$D$160),LOOKUP(2,1/('Project SqFt'!$H$18:$H$160=W128)/('Project SqFt'!$I$18:$I$160=X128),'Project SqFt'!$L$18:$L$160)),LOOKUP(2,1/('Project SqFt'!$P$18:$P$160=W128)/('Project SqFt'!$Q$18:$Q$160=X128),'Project SqFt'!$T$18:$T$160))),"")</f>
        <v/>
      </c>
    </row>
    <row r="129" spans="1:27" x14ac:dyDescent="0.25">
      <c r="A129" s="73"/>
      <c r="B129" s="89"/>
      <c r="C129" s="561"/>
      <c r="D129" s="874"/>
      <c r="E129" s="875"/>
      <c r="F129" s="562"/>
      <c r="H129" s="50"/>
      <c r="I129" s="684"/>
      <c r="J129" s="684"/>
      <c r="K129" s="561"/>
      <c r="L129" s="89"/>
      <c r="M129" s="864"/>
      <c r="N129" s="865"/>
      <c r="P129" s="50"/>
      <c r="Q129" s="89"/>
      <c r="R129" s="860"/>
      <c r="S129" s="861"/>
      <c r="T129" s="89"/>
      <c r="U129" s="562"/>
      <c r="W129" s="29"/>
      <c r="X129" s="29"/>
      <c r="Y129" s="859" t="str" cm="1">
        <f t="array" ref="Y129">IFERROR(IF(IFERROR(_xlfn.IFNA(LOOKUP(2,1/('Project SqFt'!$A$18:$A$160=W129)/('Project SqFt'!$B$18:$B$160=X129),'Project SqFt'!$F$18:$F$160),LOOKUP(2,1/('Project SqFt'!$H$18:$H$160=W129)/('Project SqFt'!$I$18:$I$160=X129),'Project SqFt'!$M$18:$M$160)),LOOKUP(2,1/('Project SqFt'!$P$18:$P$160=W129)/('Project SqFt'!$Q$18:$Q$160=X129),'Project SqFt'!$U$18:$U$160))="","",IFERROR(_xlfn.IFNA(LOOKUP(2,1/('Project SqFt'!$A$18:$A$160=W129)/('Project SqFt'!$B$18:$B$160=X129),'Project SqFt'!$F$18:$F$160),LOOKUP(2,1/('Project SqFt'!$H$18:$H$160=W129)/('Project SqFt'!$I$18:$I$160=X129),'Project SqFt'!$M$18:$M$160)),LOOKUP(2,1/('Project SqFt'!$P$18:$P$160=W129)/('Project SqFt'!$Q$18:$Q$160=X129),'Project SqFt'!$U$18:$U$160))),"")</f>
        <v/>
      </c>
      <c r="Z129" s="725"/>
      <c r="AA129" s="194" t="str" cm="1">
        <f t="array" ref="AA129">IFERROR(IF(IFERROR(_xlfn.IFNA(LOOKUP(2,1/('Project SqFt'!$A$18:$A$160=W129)/('Project SqFt'!$B$18:$B$160=X129),'Project SqFt'!$D$18:$D$160),LOOKUP(2,1/('Project SqFt'!$H$18:$H$160=W129)/('Project SqFt'!$I$18:$I$160=X129),'Project SqFt'!$L$18:$L$160)),LOOKUP(2,1/('Project SqFt'!$P$18:$P$160=W129)/('Project SqFt'!$Q$18:$Q$160=X129),'Project SqFt'!$T$18:$T$160))="","",IFERROR(_xlfn.IFNA(LOOKUP(2,1/('Project SqFt'!$A$18:$A$160=W129)/('Project SqFt'!$B$18:$B$160=X129),'Project SqFt'!$D$18:$D$160),LOOKUP(2,1/('Project SqFt'!$H$18:$H$160=W129)/('Project SqFt'!$I$18:$I$160=X129),'Project SqFt'!$L$18:$L$160)),LOOKUP(2,1/('Project SqFt'!$P$18:$P$160=W129)/('Project SqFt'!$Q$18:$Q$160=X129),'Project SqFt'!$T$18:$T$160))),"")</f>
        <v/>
      </c>
    </row>
    <row r="130" spans="1:27" x14ac:dyDescent="0.25">
      <c r="A130" s="50"/>
      <c r="B130" s="89"/>
      <c r="C130" s="561"/>
      <c r="D130" s="874"/>
      <c r="E130" s="875"/>
      <c r="F130" s="562"/>
      <c r="H130" s="50"/>
      <c r="I130" s="684"/>
      <c r="J130" s="684"/>
      <c r="K130" s="561"/>
      <c r="L130" s="89"/>
      <c r="M130" s="864"/>
      <c r="N130" s="865"/>
      <c r="P130" s="50"/>
      <c r="Q130" s="89"/>
      <c r="R130" s="860"/>
      <c r="S130" s="861"/>
      <c r="T130" s="89"/>
      <c r="U130" s="562"/>
      <c r="W130" s="29"/>
      <c r="X130" s="29"/>
      <c r="Y130" s="859" t="str" cm="1">
        <f t="array" ref="Y130">IFERROR(IF(IFERROR(_xlfn.IFNA(LOOKUP(2,1/('Project SqFt'!$A$18:$A$160=W130)/('Project SqFt'!$B$18:$B$160=X130),'Project SqFt'!$F$18:$F$160),LOOKUP(2,1/('Project SqFt'!$H$18:$H$160=W130)/('Project SqFt'!$I$18:$I$160=X130),'Project SqFt'!$M$18:$M$160)),LOOKUP(2,1/('Project SqFt'!$P$18:$P$160=W130)/('Project SqFt'!$Q$18:$Q$160=X130),'Project SqFt'!$U$18:$U$160))="","",IFERROR(_xlfn.IFNA(LOOKUP(2,1/('Project SqFt'!$A$18:$A$160=W130)/('Project SqFt'!$B$18:$B$160=X130),'Project SqFt'!$F$18:$F$160),LOOKUP(2,1/('Project SqFt'!$H$18:$H$160=W130)/('Project SqFt'!$I$18:$I$160=X130),'Project SqFt'!$M$18:$M$160)),LOOKUP(2,1/('Project SqFt'!$P$18:$P$160=W130)/('Project SqFt'!$Q$18:$Q$160=X130),'Project SqFt'!$U$18:$U$160))),"")</f>
        <v/>
      </c>
      <c r="Z130" s="725"/>
      <c r="AA130" s="194" t="str" cm="1">
        <f t="array" ref="AA130">IFERROR(IF(IFERROR(_xlfn.IFNA(LOOKUP(2,1/('Project SqFt'!$A$18:$A$160=W130)/('Project SqFt'!$B$18:$B$160=X130),'Project SqFt'!$D$18:$D$160),LOOKUP(2,1/('Project SqFt'!$H$18:$H$160=W130)/('Project SqFt'!$I$18:$I$160=X130),'Project SqFt'!$L$18:$L$160)),LOOKUP(2,1/('Project SqFt'!$P$18:$P$160=W130)/('Project SqFt'!$Q$18:$Q$160=X130),'Project SqFt'!$T$18:$T$160))="","",IFERROR(_xlfn.IFNA(LOOKUP(2,1/('Project SqFt'!$A$18:$A$160=W130)/('Project SqFt'!$B$18:$B$160=X130),'Project SqFt'!$D$18:$D$160),LOOKUP(2,1/('Project SqFt'!$H$18:$H$160=W130)/('Project SqFt'!$I$18:$I$160=X130),'Project SqFt'!$L$18:$L$160)),LOOKUP(2,1/('Project SqFt'!$P$18:$P$160=W130)/('Project SqFt'!$Q$18:$Q$160=X130),'Project SqFt'!$T$18:$T$160))),"")</f>
        <v/>
      </c>
    </row>
    <row r="131" spans="1:27" x14ac:dyDescent="0.25">
      <c r="A131" s="73"/>
      <c r="B131" s="89"/>
      <c r="C131" s="561"/>
      <c r="D131" s="874"/>
      <c r="E131" s="875"/>
      <c r="F131" s="562"/>
      <c r="H131" s="50"/>
      <c r="I131" s="684"/>
      <c r="J131" s="684"/>
      <c r="K131" s="561"/>
      <c r="L131" s="89"/>
      <c r="M131" s="864"/>
      <c r="N131" s="865"/>
      <c r="P131" s="50"/>
      <c r="Q131" s="89"/>
      <c r="R131" s="860"/>
      <c r="S131" s="861"/>
      <c r="T131" s="89"/>
      <c r="U131" s="562"/>
      <c r="W131" s="29"/>
      <c r="X131" s="29"/>
      <c r="Y131" s="859" t="str" cm="1">
        <f t="array" ref="Y131">IFERROR(IF(IFERROR(_xlfn.IFNA(LOOKUP(2,1/('Project SqFt'!$A$18:$A$160=W131)/('Project SqFt'!$B$18:$B$160=X131),'Project SqFt'!$F$18:$F$160),LOOKUP(2,1/('Project SqFt'!$H$18:$H$160=W131)/('Project SqFt'!$I$18:$I$160=X131),'Project SqFt'!$M$18:$M$160)),LOOKUP(2,1/('Project SqFt'!$P$18:$P$160=W131)/('Project SqFt'!$Q$18:$Q$160=X131),'Project SqFt'!$U$18:$U$160))="","",IFERROR(_xlfn.IFNA(LOOKUP(2,1/('Project SqFt'!$A$18:$A$160=W131)/('Project SqFt'!$B$18:$B$160=X131),'Project SqFt'!$F$18:$F$160),LOOKUP(2,1/('Project SqFt'!$H$18:$H$160=W131)/('Project SqFt'!$I$18:$I$160=X131),'Project SqFt'!$M$18:$M$160)),LOOKUP(2,1/('Project SqFt'!$P$18:$P$160=W131)/('Project SqFt'!$Q$18:$Q$160=X131),'Project SqFt'!$U$18:$U$160))),"")</f>
        <v/>
      </c>
      <c r="Z131" s="725"/>
      <c r="AA131" s="194" t="str" cm="1">
        <f t="array" ref="AA131">IFERROR(IF(IFERROR(_xlfn.IFNA(LOOKUP(2,1/('Project SqFt'!$A$18:$A$160=W131)/('Project SqFt'!$B$18:$B$160=X131),'Project SqFt'!$D$18:$D$160),LOOKUP(2,1/('Project SqFt'!$H$18:$H$160=W131)/('Project SqFt'!$I$18:$I$160=X131),'Project SqFt'!$L$18:$L$160)),LOOKUP(2,1/('Project SqFt'!$P$18:$P$160=W131)/('Project SqFt'!$Q$18:$Q$160=X131),'Project SqFt'!$T$18:$T$160))="","",IFERROR(_xlfn.IFNA(LOOKUP(2,1/('Project SqFt'!$A$18:$A$160=W131)/('Project SqFt'!$B$18:$B$160=X131),'Project SqFt'!$D$18:$D$160),LOOKUP(2,1/('Project SqFt'!$H$18:$H$160=W131)/('Project SqFt'!$I$18:$I$160=X131),'Project SqFt'!$L$18:$L$160)),LOOKUP(2,1/('Project SqFt'!$P$18:$P$160=W131)/('Project SqFt'!$Q$18:$Q$160=X131),'Project SqFt'!$T$18:$T$160))),"")</f>
        <v/>
      </c>
    </row>
    <row r="132" spans="1:27" x14ac:dyDescent="0.25">
      <c r="A132" s="50"/>
      <c r="B132" s="89"/>
      <c r="C132" s="561"/>
      <c r="D132" s="874"/>
      <c r="E132" s="875"/>
      <c r="F132" s="562"/>
      <c r="H132" s="50"/>
      <c r="I132" s="684"/>
      <c r="J132" s="684"/>
      <c r="K132" s="561"/>
      <c r="L132" s="89"/>
      <c r="M132" s="864"/>
      <c r="N132" s="865"/>
      <c r="P132" s="50"/>
      <c r="Q132" s="89"/>
      <c r="R132" s="860"/>
      <c r="S132" s="861"/>
      <c r="T132" s="89"/>
      <c r="U132" s="562"/>
      <c r="W132" s="29"/>
      <c r="X132" s="29"/>
      <c r="Y132" s="859" t="str" cm="1">
        <f t="array" ref="Y132">IFERROR(IF(IFERROR(_xlfn.IFNA(LOOKUP(2,1/('Project SqFt'!$A$18:$A$160=W132)/('Project SqFt'!$B$18:$B$160=X132),'Project SqFt'!$F$18:$F$160),LOOKUP(2,1/('Project SqFt'!$H$18:$H$160=W132)/('Project SqFt'!$I$18:$I$160=X132),'Project SqFt'!$M$18:$M$160)),LOOKUP(2,1/('Project SqFt'!$P$18:$P$160=W132)/('Project SqFt'!$Q$18:$Q$160=X132),'Project SqFt'!$U$18:$U$160))="","",IFERROR(_xlfn.IFNA(LOOKUP(2,1/('Project SqFt'!$A$18:$A$160=W132)/('Project SqFt'!$B$18:$B$160=X132),'Project SqFt'!$F$18:$F$160),LOOKUP(2,1/('Project SqFt'!$H$18:$H$160=W132)/('Project SqFt'!$I$18:$I$160=X132),'Project SqFt'!$M$18:$M$160)),LOOKUP(2,1/('Project SqFt'!$P$18:$P$160=W132)/('Project SqFt'!$Q$18:$Q$160=X132),'Project SqFt'!$U$18:$U$160))),"")</f>
        <v/>
      </c>
      <c r="Z132" s="725"/>
      <c r="AA132" s="194" t="str" cm="1">
        <f t="array" ref="AA132">IFERROR(IF(IFERROR(_xlfn.IFNA(LOOKUP(2,1/('Project SqFt'!$A$18:$A$160=W132)/('Project SqFt'!$B$18:$B$160=X132),'Project SqFt'!$D$18:$D$160),LOOKUP(2,1/('Project SqFt'!$H$18:$H$160=W132)/('Project SqFt'!$I$18:$I$160=X132),'Project SqFt'!$L$18:$L$160)),LOOKUP(2,1/('Project SqFt'!$P$18:$P$160=W132)/('Project SqFt'!$Q$18:$Q$160=X132),'Project SqFt'!$T$18:$T$160))="","",IFERROR(_xlfn.IFNA(LOOKUP(2,1/('Project SqFt'!$A$18:$A$160=W132)/('Project SqFt'!$B$18:$B$160=X132),'Project SqFt'!$D$18:$D$160),LOOKUP(2,1/('Project SqFt'!$H$18:$H$160=W132)/('Project SqFt'!$I$18:$I$160=X132),'Project SqFt'!$L$18:$L$160)),LOOKUP(2,1/('Project SqFt'!$P$18:$P$160=W132)/('Project SqFt'!$Q$18:$Q$160=X132),'Project SqFt'!$T$18:$T$160))),"")</f>
        <v/>
      </c>
    </row>
    <row r="133" spans="1:27" x14ac:dyDescent="0.25">
      <c r="A133" s="73"/>
      <c r="B133" s="89"/>
      <c r="C133" s="561"/>
      <c r="D133" s="874"/>
      <c r="E133" s="875"/>
      <c r="F133" s="562"/>
      <c r="H133" s="50"/>
      <c r="I133" s="684"/>
      <c r="J133" s="684"/>
      <c r="K133" s="561"/>
      <c r="L133" s="89"/>
      <c r="M133" s="864"/>
      <c r="N133" s="865"/>
      <c r="P133" s="50"/>
      <c r="Q133" s="89"/>
      <c r="R133" s="860"/>
      <c r="S133" s="861"/>
      <c r="T133" s="89"/>
      <c r="U133" s="562"/>
      <c r="W133" s="29"/>
      <c r="X133" s="29"/>
      <c r="Y133" s="859" t="str" cm="1">
        <f t="array" ref="Y133">IFERROR(IF(IFERROR(_xlfn.IFNA(LOOKUP(2,1/('Project SqFt'!$A$18:$A$160=W133)/('Project SqFt'!$B$18:$B$160=X133),'Project SqFt'!$F$18:$F$160),LOOKUP(2,1/('Project SqFt'!$H$18:$H$160=W133)/('Project SqFt'!$I$18:$I$160=X133),'Project SqFt'!$M$18:$M$160)),LOOKUP(2,1/('Project SqFt'!$P$18:$P$160=W133)/('Project SqFt'!$Q$18:$Q$160=X133),'Project SqFt'!$U$18:$U$160))="","",IFERROR(_xlfn.IFNA(LOOKUP(2,1/('Project SqFt'!$A$18:$A$160=W133)/('Project SqFt'!$B$18:$B$160=X133),'Project SqFt'!$F$18:$F$160),LOOKUP(2,1/('Project SqFt'!$H$18:$H$160=W133)/('Project SqFt'!$I$18:$I$160=X133),'Project SqFt'!$M$18:$M$160)),LOOKUP(2,1/('Project SqFt'!$P$18:$P$160=W133)/('Project SqFt'!$Q$18:$Q$160=X133),'Project SqFt'!$U$18:$U$160))),"")</f>
        <v/>
      </c>
      <c r="Z133" s="725"/>
      <c r="AA133" s="194" t="str" cm="1">
        <f t="array" ref="AA133">IFERROR(IF(IFERROR(_xlfn.IFNA(LOOKUP(2,1/('Project SqFt'!$A$18:$A$160=W133)/('Project SqFt'!$B$18:$B$160=X133),'Project SqFt'!$D$18:$D$160),LOOKUP(2,1/('Project SqFt'!$H$18:$H$160=W133)/('Project SqFt'!$I$18:$I$160=X133),'Project SqFt'!$L$18:$L$160)),LOOKUP(2,1/('Project SqFt'!$P$18:$P$160=W133)/('Project SqFt'!$Q$18:$Q$160=X133),'Project SqFt'!$T$18:$T$160))="","",IFERROR(_xlfn.IFNA(LOOKUP(2,1/('Project SqFt'!$A$18:$A$160=W133)/('Project SqFt'!$B$18:$B$160=X133),'Project SqFt'!$D$18:$D$160),LOOKUP(2,1/('Project SqFt'!$H$18:$H$160=W133)/('Project SqFt'!$I$18:$I$160=X133),'Project SqFt'!$L$18:$L$160)),LOOKUP(2,1/('Project SqFt'!$P$18:$P$160=W133)/('Project SqFt'!$Q$18:$Q$160=X133),'Project SqFt'!$T$18:$T$160))),"")</f>
        <v/>
      </c>
    </row>
    <row r="134" spans="1:27" x14ac:dyDescent="0.25">
      <c r="A134" s="50"/>
      <c r="B134" s="89"/>
      <c r="C134" s="561"/>
      <c r="D134" s="874"/>
      <c r="E134" s="875"/>
      <c r="F134" s="562"/>
      <c r="H134" s="50"/>
      <c r="I134" s="684"/>
      <c r="J134" s="684"/>
      <c r="K134" s="561"/>
      <c r="L134" s="89"/>
      <c r="M134" s="864"/>
      <c r="N134" s="865"/>
      <c r="P134" s="50"/>
      <c r="Q134" s="89"/>
      <c r="R134" s="860"/>
      <c r="S134" s="861"/>
      <c r="T134" s="89"/>
      <c r="U134" s="562"/>
      <c r="W134" s="29"/>
      <c r="X134" s="29"/>
      <c r="Y134" s="859" t="str" cm="1">
        <f t="array" ref="Y134">IFERROR(IF(IFERROR(_xlfn.IFNA(LOOKUP(2,1/('Project SqFt'!$A$18:$A$160=W134)/('Project SqFt'!$B$18:$B$160=X134),'Project SqFt'!$F$18:$F$160),LOOKUP(2,1/('Project SqFt'!$H$18:$H$160=W134)/('Project SqFt'!$I$18:$I$160=X134),'Project SqFt'!$M$18:$M$160)),LOOKUP(2,1/('Project SqFt'!$P$18:$P$160=W134)/('Project SqFt'!$Q$18:$Q$160=X134),'Project SqFt'!$U$18:$U$160))="","",IFERROR(_xlfn.IFNA(LOOKUP(2,1/('Project SqFt'!$A$18:$A$160=W134)/('Project SqFt'!$B$18:$B$160=X134),'Project SqFt'!$F$18:$F$160),LOOKUP(2,1/('Project SqFt'!$H$18:$H$160=W134)/('Project SqFt'!$I$18:$I$160=X134),'Project SqFt'!$M$18:$M$160)),LOOKUP(2,1/('Project SqFt'!$P$18:$P$160=W134)/('Project SqFt'!$Q$18:$Q$160=X134),'Project SqFt'!$U$18:$U$160))),"")</f>
        <v/>
      </c>
      <c r="Z134" s="725"/>
      <c r="AA134" s="194" t="str" cm="1">
        <f t="array" ref="AA134">IFERROR(IF(IFERROR(_xlfn.IFNA(LOOKUP(2,1/('Project SqFt'!$A$18:$A$160=W134)/('Project SqFt'!$B$18:$B$160=X134),'Project SqFt'!$D$18:$D$160),LOOKUP(2,1/('Project SqFt'!$H$18:$H$160=W134)/('Project SqFt'!$I$18:$I$160=X134),'Project SqFt'!$L$18:$L$160)),LOOKUP(2,1/('Project SqFt'!$P$18:$P$160=W134)/('Project SqFt'!$Q$18:$Q$160=X134),'Project SqFt'!$T$18:$T$160))="","",IFERROR(_xlfn.IFNA(LOOKUP(2,1/('Project SqFt'!$A$18:$A$160=W134)/('Project SqFt'!$B$18:$B$160=X134),'Project SqFt'!$D$18:$D$160),LOOKUP(2,1/('Project SqFt'!$H$18:$H$160=W134)/('Project SqFt'!$I$18:$I$160=X134),'Project SqFt'!$L$18:$L$160)),LOOKUP(2,1/('Project SqFt'!$P$18:$P$160=W134)/('Project SqFt'!$Q$18:$Q$160=X134),'Project SqFt'!$T$18:$T$160))),"")</f>
        <v/>
      </c>
    </row>
    <row r="135" spans="1:27" x14ac:dyDescent="0.25">
      <c r="A135" s="73"/>
      <c r="B135" s="89"/>
      <c r="C135" s="561"/>
      <c r="D135" s="874"/>
      <c r="E135" s="875"/>
      <c r="F135" s="562"/>
      <c r="H135" s="50"/>
      <c r="I135" s="684"/>
      <c r="J135" s="684"/>
      <c r="K135" s="561"/>
      <c r="L135" s="89"/>
      <c r="M135" s="864"/>
      <c r="N135" s="865"/>
      <c r="P135" s="50"/>
      <c r="Q135" s="89"/>
      <c r="R135" s="860"/>
      <c r="S135" s="861"/>
      <c r="T135" s="89"/>
      <c r="U135" s="562"/>
      <c r="W135" s="29"/>
      <c r="X135" s="29"/>
      <c r="Y135" s="859" t="str" cm="1">
        <f t="array" ref="Y135">IFERROR(IF(IFERROR(_xlfn.IFNA(LOOKUP(2,1/('Project SqFt'!$A$18:$A$160=W135)/('Project SqFt'!$B$18:$B$160=X135),'Project SqFt'!$F$18:$F$160),LOOKUP(2,1/('Project SqFt'!$H$18:$H$160=W135)/('Project SqFt'!$I$18:$I$160=X135),'Project SqFt'!$M$18:$M$160)),LOOKUP(2,1/('Project SqFt'!$P$18:$P$160=W135)/('Project SqFt'!$Q$18:$Q$160=X135),'Project SqFt'!$U$18:$U$160))="","",IFERROR(_xlfn.IFNA(LOOKUP(2,1/('Project SqFt'!$A$18:$A$160=W135)/('Project SqFt'!$B$18:$B$160=X135),'Project SqFt'!$F$18:$F$160),LOOKUP(2,1/('Project SqFt'!$H$18:$H$160=W135)/('Project SqFt'!$I$18:$I$160=X135),'Project SqFt'!$M$18:$M$160)),LOOKUP(2,1/('Project SqFt'!$P$18:$P$160=W135)/('Project SqFt'!$Q$18:$Q$160=X135),'Project SqFt'!$U$18:$U$160))),"")</f>
        <v/>
      </c>
      <c r="Z135" s="725"/>
      <c r="AA135" s="194" t="str" cm="1">
        <f t="array" ref="AA135">IFERROR(IF(IFERROR(_xlfn.IFNA(LOOKUP(2,1/('Project SqFt'!$A$18:$A$160=W135)/('Project SqFt'!$B$18:$B$160=X135),'Project SqFt'!$D$18:$D$160),LOOKUP(2,1/('Project SqFt'!$H$18:$H$160=W135)/('Project SqFt'!$I$18:$I$160=X135),'Project SqFt'!$L$18:$L$160)),LOOKUP(2,1/('Project SqFt'!$P$18:$P$160=W135)/('Project SqFt'!$Q$18:$Q$160=X135),'Project SqFt'!$T$18:$T$160))="","",IFERROR(_xlfn.IFNA(LOOKUP(2,1/('Project SqFt'!$A$18:$A$160=W135)/('Project SqFt'!$B$18:$B$160=X135),'Project SqFt'!$D$18:$D$160),LOOKUP(2,1/('Project SqFt'!$H$18:$H$160=W135)/('Project SqFt'!$I$18:$I$160=X135),'Project SqFt'!$L$18:$L$160)),LOOKUP(2,1/('Project SqFt'!$P$18:$P$160=W135)/('Project SqFt'!$Q$18:$Q$160=X135),'Project SqFt'!$T$18:$T$160))),"")</f>
        <v/>
      </c>
    </row>
    <row r="136" spans="1:27" x14ac:dyDescent="0.25">
      <c r="A136" s="50"/>
      <c r="B136" s="89"/>
      <c r="C136" s="561"/>
      <c r="D136" s="874"/>
      <c r="E136" s="875"/>
      <c r="F136" s="562"/>
      <c r="H136" s="50"/>
      <c r="I136" s="684"/>
      <c r="J136" s="684"/>
      <c r="K136" s="561"/>
      <c r="L136" s="89"/>
      <c r="M136" s="864"/>
      <c r="N136" s="865"/>
      <c r="P136" s="50"/>
      <c r="Q136" s="89"/>
      <c r="R136" s="860"/>
      <c r="S136" s="861"/>
      <c r="T136" s="89"/>
      <c r="U136" s="562"/>
      <c r="W136" s="29"/>
      <c r="X136" s="29"/>
      <c r="Y136" s="859" t="str" cm="1">
        <f t="array" ref="Y136">IFERROR(IF(IFERROR(_xlfn.IFNA(LOOKUP(2,1/('Project SqFt'!$A$18:$A$160=W136)/('Project SqFt'!$B$18:$B$160=X136),'Project SqFt'!$F$18:$F$160),LOOKUP(2,1/('Project SqFt'!$H$18:$H$160=W136)/('Project SqFt'!$I$18:$I$160=X136),'Project SqFt'!$M$18:$M$160)),LOOKUP(2,1/('Project SqFt'!$P$18:$P$160=W136)/('Project SqFt'!$Q$18:$Q$160=X136),'Project SqFt'!$U$18:$U$160))="","",IFERROR(_xlfn.IFNA(LOOKUP(2,1/('Project SqFt'!$A$18:$A$160=W136)/('Project SqFt'!$B$18:$B$160=X136),'Project SqFt'!$F$18:$F$160),LOOKUP(2,1/('Project SqFt'!$H$18:$H$160=W136)/('Project SqFt'!$I$18:$I$160=X136),'Project SqFt'!$M$18:$M$160)),LOOKUP(2,1/('Project SqFt'!$P$18:$P$160=W136)/('Project SqFt'!$Q$18:$Q$160=X136),'Project SqFt'!$U$18:$U$160))),"")</f>
        <v/>
      </c>
      <c r="Z136" s="725"/>
      <c r="AA136" s="194" t="str" cm="1">
        <f t="array" ref="AA136">IFERROR(IF(IFERROR(_xlfn.IFNA(LOOKUP(2,1/('Project SqFt'!$A$18:$A$160=W136)/('Project SqFt'!$B$18:$B$160=X136),'Project SqFt'!$D$18:$D$160),LOOKUP(2,1/('Project SqFt'!$H$18:$H$160=W136)/('Project SqFt'!$I$18:$I$160=X136),'Project SqFt'!$L$18:$L$160)),LOOKUP(2,1/('Project SqFt'!$P$18:$P$160=W136)/('Project SqFt'!$Q$18:$Q$160=X136),'Project SqFt'!$T$18:$T$160))="","",IFERROR(_xlfn.IFNA(LOOKUP(2,1/('Project SqFt'!$A$18:$A$160=W136)/('Project SqFt'!$B$18:$B$160=X136),'Project SqFt'!$D$18:$D$160),LOOKUP(2,1/('Project SqFt'!$H$18:$H$160=W136)/('Project SqFt'!$I$18:$I$160=X136),'Project SqFt'!$L$18:$L$160)),LOOKUP(2,1/('Project SqFt'!$P$18:$P$160=W136)/('Project SqFt'!$Q$18:$Q$160=X136),'Project SqFt'!$T$18:$T$160))),"")</f>
        <v/>
      </c>
    </row>
    <row r="137" spans="1:27" x14ac:dyDescent="0.25">
      <c r="A137" s="73"/>
      <c r="B137" s="89"/>
      <c r="C137" s="561"/>
      <c r="D137" s="874"/>
      <c r="E137" s="875"/>
      <c r="F137" s="562"/>
      <c r="H137" s="50"/>
      <c r="I137" s="684"/>
      <c r="J137" s="684"/>
      <c r="K137" s="561"/>
      <c r="L137" s="89"/>
      <c r="M137" s="864"/>
      <c r="N137" s="865"/>
      <c r="P137" s="50"/>
      <c r="Q137" s="89"/>
      <c r="R137" s="860"/>
      <c r="S137" s="861"/>
      <c r="T137" s="89"/>
      <c r="U137" s="562"/>
      <c r="W137" s="29"/>
      <c r="X137" s="29"/>
      <c r="Y137" s="859" t="str" cm="1">
        <f t="array" ref="Y137">IFERROR(IF(IFERROR(_xlfn.IFNA(LOOKUP(2,1/('Project SqFt'!$A$18:$A$160=W137)/('Project SqFt'!$B$18:$B$160=X137),'Project SqFt'!$F$18:$F$160),LOOKUP(2,1/('Project SqFt'!$H$18:$H$160=W137)/('Project SqFt'!$I$18:$I$160=X137),'Project SqFt'!$M$18:$M$160)),LOOKUP(2,1/('Project SqFt'!$P$18:$P$160=W137)/('Project SqFt'!$Q$18:$Q$160=X137),'Project SqFt'!$U$18:$U$160))="","",IFERROR(_xlfn.IFNA(LOOKUP(2,1/('Project SqFt'!$A$18:$A$160=W137)/('Project SqFt'!$B$18:$B$160=X137),'Project SqFt'!$F$18:$F$160),LOOKUP(2,1/('Project SqFt'!$H$18:$H$160=W137)/('Project SqFt'!$I$18:$I$160=X137),'Project SqFt'!$M$18:$M$160)),LOOKUP(2,1/('Project SqFt'!$P$18:$P$160=W137)/('Project SqFt'!$Q$18:$Q$160=X137),'Project SqFt'!$U$18:$U$160))),"")</f>
        <v/>
      </c>
      <c r="Z137" s="725"/>
      <c r="AA137" s="194" t="str" cm="1">
        <f t="array" ref="AA137">IFERROR(IF(IFERROR(_xlfn.IFNA(LOOKUP(2,1/('Project SqFt'!$A$18:$A$160=W137)/('Project SqFt'!$B$18:$B$160=X137),'Project SqFt'!$D$18:$D$160),LOOKUP(2,1/('Project SqFt'!$H$18:$H$160=W137)/('Project SqFt'!$I$18:$I$160=X137),'Project SqFt'!$L$18:$L$160)),LOOKUP(2,1/('Project SqFt'!$P$18:$P$160=W137)/('Project SqFt'!$Q$18:$Q$160=X137),'Project SqFt'!$T$18:$T$160))="","",IFERROR(_xlfn.IFNA(LOOKUP(2,1/('Project SqFt'!$A$18:$A$160=W137)/('Project SqFt'!$B$18:$B$160=X137),'Project SqFt'!$D$18:$D$160),LOOKUP(2,1/('Project SqFt'!$H$18:$H$160=W137)/('Project SqFt'!$I$18:$I$160=X137),'Project SqFt'!$L$18:$L$160)),LOOKUP(2,1/('Project SqFt'!$P$18:$P$160=W137)/('Project SqFt'!$Q$18:$Q$160=X137),'Project SqFt'!$T$18:$T$160))),"")</f>
        <v/>
      </c>
    </row>
    <row r="138" spans="1:27" x14ac:dyDescent="0.25">
      <c r="A138" s="50"/>
      <c r="B138" s="89"/>
      <c r="C138" s="561"/>
      <c r="D138" s="874"/>
      <c r="E138" s="875"/>
      <c r="F138" s="562"/>
      <c r="H138" s="50"/>
      <c r="I138" s="684"/>
      <c r="J138" s="684"/>
      <c r="K138" s="561"/>
      <c r="L138" s="89"/>
      <c r="M138" s="864"/>
      <c r="N138" s="865"/>
      <c r="P138" s="50"/>
      <c r="Q138" s="89"/>
      <c r="R138" s="860"/>
      <c r="S138" s="861"/>
      <c r="T138" s="89"/>
      <c r="U138" s="562"/>
      <c r="W138" s="29"/>
      <c r="X138" s="29"/>
      <c r="Y138" s="859" t="str" cm="1">
        <f t="array" ref="Y138">IFERROR(IF(IFERROR(_xlfn.IFNA(LOOKUP(2,1/('Project SqFt'!$A$18:$A$160=W138)/('Project SqFt'!$B$18:$B$160=X138),'Project SqFt'!$F$18:$F$160),LOOKUP(2,1/('Project SqFt'!$H$18:$H$160=W138)/('Project SqFt'!$I$18:$I$160=X138),'Project SqFt'!$M$18:$M$160)),LOOKUP(2,1/('Project SqFt'!$P$18:$P$160=W138)/('Project SqFt'!$Q$18:$Q$160=X138),'Project SqFt'!$U$18:$U$160))="","",IFERROR(_xlfn.IFNA(LOOKUP(2,1/('Project SqFt'!$A$18:$A$160=W138)/('Project SqFt'!$B$18:$B$160=X138),'Project SqFt'!$F$18:$F$160),LOOKUP(2,1/('Project SqFt'!$H$18:$H$160=W138)/('Project SqFt'!$I$18:$I$160=X138),'Project SqFt'!$M$18:$M$160)),LOOKUP(2,1/('Project SqFt'!$P$18:$P$160=W138)/('Project SqFt'!$Q$18:$Q$160=X138),'Project SqFt'!$U$18:$U$160))),"")</f>
        <v/>
      </c>
      <c r="Z138" s="725"/>
      <c r="AA138" s="194" t="str" cm="1">
        <f t="array" ref="AA138">IFERROR(IF(IFERROR(_xlfn.IFNA(LOOKUP(2,1/('Project SqFt'!$A$18:$A$160=W138)/('Project SqFt'!$B$18:$B$160=X138),'Project SqFt'!$D$18:$D$160),LOOKUP(2,1/('Project SqFt'!$H$18:$H$160=W138)/('Project SqFt'!$I$18:$I$160=X138),'Project SqFt'!$L$18:$L$160)),LOOKUP(2,1/('Project SqFt'!$P$18:$P$160=W138)/('Project SqFt'!$Q$18:$Q$160=X138),'Project SqFt'!$T$18:$T$160))="","",IFERROR(_xlfn.IFNA(LOOKUP(2,1/('Project SqFt'!$A$18:$A$160=W138)/('Project SqFt'!$B$18:$B$160=X138),'Project SqFt'!$D$18:$D$160),LOOKUP(2,1/('Project SqFt'!$H$18:$H$160=W138)/('Project SqFt'!$I$18:$I$160=X138),'Project SqFt'!$L$18:$L$160)),LOOKUP(2,1/('Project SqFt'!$P$18:$P$160=W138)/('Project SqFt'!$Q$18:$Q$160=X138),'Project SqFt'!$T$18:$T$160))),"")</f>
        <v/>
      </c>
    </row>
    <row r="139" spans="1:27" x14ac:dyDescent="0.25">
      <c r="A139" s="73"/>
      <c r="B139" s="89"/>
      <c r="C139" s="561"/>
      <c r="D139" s="874"/>
      <c r="E139" s="875"/>
      <c r="F139" s="562"/>
      <c r="H139" s="50"/>
      <c r="I139" s="684"/>
      <c r="J139" s="684"/>
      <c r="K139" s="561"/>
      <c r="L139" s="89"/>
      <c r="M139" s="864"/>
      <c r="N139" s="865"/>
      <c r="P139" s="50"/>
      <c r="Q139" s="89"/>
      <c r="R139" s="860"/>
      <c r="S139" s="861"/>
      <c r="T139" s="89"/>
      <c r="U139" s="562"/>
      <c r="W139" s="29"/>
      <c r="X139" s="29"/>
      <c r="Y139" s="859" t="str" cm="1">
        <f t="array" ref="Y139">IFERROR(IF(IFERROR(_xlfn.IFNA(LOOKUP(2,1/('Project SqFt'!$A$18:$A$160=W139)/('Project SqFt'!$B$18:$B$160=X139),'Project SqFt'!$F$18:$F$160),LOOKUP(2,1/('Project SqFt'!$H$18:$H$160=W139)/('Project SqFt'!$I$18:$I$160=X139),'Project SqFt'!$M$18:$M$160)),LOOKUP(2,1/('Project SqFt'!$P$18:$P$160=W139)/('Project SqFt'!$Q$18:$Q$160=X139),'Project SqFt'!$U$18:$U$160))="","",IFERROR(_xlfn.IFNA(LOOKUP(2,1/('Project SqFt'!$A$18:$A$160=W139)/('Project SqFt'!$B$18:$B$160=X139),'Project SqFt'!$F$18:$F$160),LOOKUP(2,1/('Project SqFt'!$H$18:$H$160=W139)/('Project SqFt'!$I$18:$I$160=X139),'Project SqFt'!$M$18:$M$160)),LOOKUP(2,1/('Project SqFt'!$P$18:$P$160=W139)/('Project SqFt'!$Q$18:$Q$160=X139),'Project SqFt'!$U$18:$U$160))),"")</f>
        <v/>
      </c>
      <c r="Z139" s="725"/>
      <c r="AA139" s="194" t="str" cm="1">
        <f t="array" ref="AA139">IFERROR(IF(IFERROR(_xlfn.IFNA(LOOKUP(2,1/('Project SqFt'!$A$18:$A$160=W139)/('Project SqFt'!$B$18:$B$160=X139),'Project SqFt'!$D$18:$D$160),LOOKUP(2,1/('Project SqFt'!$H$18:$H$160=W139)/('Project SqFt'!$I$18:$I$160=X139),'Project SqFt'!$L$18:$L$160)),LOOKUP(2,1/('Project SqFt'!$P$18:$P$160=W139)/('Project SqFt'!$Q$18:$Q$160=X139),'Project SqFt'!$T$18:$T$160))="","",IFERROR(_xlfn.IFNA(LOOKUP(2,1/('Project SqFt'!$A$18:$A$160=W139)/('Project SqFt'!$B$18:$B$160=X139),'Project SqFt'!$D$18:$D$160),LOOKUP(2,1/('Project SqFt'!$H$18:$H$160=W139)/('Project SqFt'!$I$18:$I$160=X139),'Project SqFt'!$L$18:$L$160)),LOOKUP(2,1/('Project SqFt'!$P$18:$P$160=W139)/('Project SqFt'!$Q$18:$Q$160=X139),'Project SqFt'!$T$18:$T$160))),"")</f>
        <v/>
      </c>
    </row>
    <row r="140" spans="1:27" x14ac:dyDescent="0.25">
      <c r="A140" s="50"/>
      <c r="B140" s="89"/>
      <c r="C140" s="561"/>
      <c r="D140" s="874"/>
      <c r="E140" s="875"/>
      <c r="F140" s="562"/>
      <c r="H140" s="50"/>
      <c r="I140" s="684"/>
      <c r="J140" s="684"/>
      <c r="K140" s="561"/>
      <c r="L140" s="89"/>
      <c r="M140" s="864"/>
      <c r="N140" s="865"/>
      <c r="P140" s="50"/>
      <c r="Q140" s="89"/>
      <c r="R140" s="860"/>
      <c r="S140" s="861"/>
      <c r="T140" s="89"/>
      <c r="U140" s="562"/>
      <c r="W140" s="29"/>
      <c r="X140" s="29"/>
      <c r="Y140" s="859" t="str" cm="1">
        <f t="array" ref="Y140">IFERROR(IF(IFERROR(_xlfn.IFNA(LOOKUP(2,1/('Project SqFt'!$A$18:$A$160=W140)/('Project SqFt'!$B$18:$B$160=X140),'Project SqFt'!$F$18:$F$160),LOOKUP(2,1/('Project SqFt'!$H$18:$H$160=W140)/('Project SqFt'!$I$18:$I$160=X140),'Project SqFt'!$M$18:$M$160)),LOOKUP(2,1/('Project SqFt'!$P$18:$P$160=W140)/('Project SqFt'!$Q$18:$Q$160=X140),'Project SqFt'!$U$18:$U$160))="","",IFERROR(_xlfn.IFNA(LOOKUP(2,1/('Project SqFt'!$A$18:$A$160=W140)/('Project SqFt'!$B$18:$B$160=X140),'Project SqFt'!$F$18:$F$160),LOOKUP(2,1/('Project SqFt'!$H$18:$H$160=W140)/('Project SqFt'!$I$18:$I$160=X140),'Project SqFt'!$M$18:$M$160)),LOOKUP(2,1/('Project SqFt'!$P$18:$P$160=W140)/('Project SqFt'!$Q$18:$Q$160=X140),'Project SqFt'!$U$18:$U$160))),"")</f>
        <v/>
      </c>
      <c r="Z140" s="725"/>
      <c r="AA140" s="194" t="str" cm="1">
        <f t="array" ref="AA140">IFERROR(IF(IFERROR(_xlfn.IFNA(LOOKUP(2,1/('Project SqFt'!$A$18:$A$160=W140)/('Project SqFt'!$B$18:$B$160=X140),'Project SqFt'!$D$18:$D$160),LOOKUP(2,1/('Project SqFt'!$H$18:$H$160=W140)/('Project SqFt'!$I$18:$I$160=X140),'Project SqFt'!$L$18:$L$160)),LOOKUP(2,1/('Project SqFt'!$P$18:$P$160=W140)/('Project SqFt'!$Q$18:$Q$160=X140),'Project SqFt'!$T$18:$T$160))="","",IFERROR(_xlfn.IFNA(LOOKUP(2,1/('Project SqFt'!$A$18:$A$160=W140)/('Project SqFt'!$B$18:$B$160=X140),'Project SqFt'!$D$18:$D$160),LOOKUP(2,1/('Project SqFt'!$H$18:$H$160=W140)/('Project SqFt'!$I$18:$I$160=X140),'Project SqFt'!$L$18:$L$160)),LOOKUP(2,1/('Project SqFt'!$P$18:$P$160=W140)/('Project SqFt'!$Q$18:$Q$160=X140),'Project SqFt'!$T$18:$T$160))),"")</f>
        <v/>
      </c>
    </row>
    <row r="141" spans="1:27" x14ac:dyDescent="0.25">
      <c r="A141" s="73"/>
      <c r="B141" s="89"/>
      <c r="C141" s="561"/>
      <c r="D141" s="874"/>
      <c r="E141" s="875"/>
      <c r="F141" s="562"/>
      <c r="H141" s="50"/>
      <c r="I141" s="684"/>
      <c r="J141" s="684"/>
      <c r="K141" s="561"/>
      <c r="L141" s="89"/>
      <c r="M141" s="864"/>
      <c r="N141" s="865"/>
      <c r="P141" s="50"/>
      <c r="Q141" s="89"/>
      <c r="R141" s="860"/>
      <c r="S141" s="861"/>
      <c r="T141" s="89"/>
      <c r="U141" s="562"/>
      <c r="W141" s="29"/>
      <c r="X141" s="29"/>
      <c r="Y141" s="859" t="str" cm="1">
        <f t="array" ref="Y141">IFERROR(IF(IFERROR(_xlfn.IFNA(LOOKUP(2,1/('Project SqFt'!$A$18:$A$160=W141)/('Project SqFt'!$B$18:$B$160=X141),'Project SqFt'!$F$18:$F$160),LOOKUP(2,1/('Project SqFt'!$H$18:$H$160=W141)/('Project SqFt'!$I$18:$I$160=X141),'Project SqFt'!$M$18:$M$160)),LOOKUP(2,1/('Project SqFt'!$P$18:$P$160=W141)/('Project SqFt'!$Q$18:$Q$160=X141),'Project SqFt'!$U$18:$U$160))="","",IFERROR(_xlfn.IFNA(LOOKUP(2,1/('Project SqFt'!$A$18:$A$160=W141)/('Project SqFt'!$B$18:$B$160=X141),'Project SqFt'!$F$18:$F$160),LOOKUP(2,1/('Project SqFt'!$H$18:$H$160=W141)/('Project SqFt'!$I$18:$I$160=X141),'Project SqFt'!$M$18:$M$160)),LOOKUP(2,1/('Project SqFt'!$P$18:$P$160=W141)/('Project SqFt'!$Q$18:$Q$160=X141),'Project SqFt'!$U$18:$U$160))),"")</f>
        <v/>
      </c>
      <c r="Z141" s="725"/>
      <c r="AA141" s="194" t="str" cm="1">
        <f t="array" ref="AA141">IFERROR(IF(IFERROR(_xlfn.IFNA(LOOKUP(2,1/('Project SqFt'!$A$18:$A$160=W141)/('Project SqFt'!$B$18:$B$160=X141),'Project SqFt'!$D$18:$D$160),LOOKUP(2,1/('Project SqFt'!$H$18:$H$160=W141)/('Project SqFt'!$I$18:$I$160=X141),'Project SqFt'!$L$18:$L$160)),LOOKUP(2,1/('Project SqFt'!$P$18:$P$160=W141)/('Project SqFt'!$Q$18:$Q$160=X141),'Project SqFt'!$T$18:$T$160))="","",IFERROR(_xlfn.IFNA(LOOKUP(2,1/('Project SqFt'!$A$18:$A$160=W141)/('Project SqFt'!$B$18:$B$160=X141),'Project SqFt'!$D$18:$D$160),LOOKUP(2,1/('Project SqFt'!$H$18:$H$160=W141)/('Project SqFt'!$I$18:$I$160=X141),'Project SqFt'!$L$18:$L$160)),LOOKUP(2,1/('Project SqFt'!$P$18:$P$160=W141)/('Project SqFt'!$Q$18:$Q$160=X141),'Project SqFt'!$T$18:$T$160))),"")</f>
        <v/>
      </c>
    </row>
    <row r="142" spans="1:27" x14ac:dyDescent="0.25">
      <c r="A142" s="50"/>
      <c r="B142" s="89"/>
      <c r="C142" s="561"/>
      <c r="D142" s="874"/>
      <c r="E142" s="875"/>
      <c r="F142" s="562"/>
      <c r="H142" s="50"/>
      <c r="I142" s="684"/>
      <c r="J142" s="684"/>
      <c r="K142" s="561"/>
      <c r="L142" s="89"/>
      <c r="M142" s="864"/>
      <c r="N142" s="865"/>
      <c r="P142" s="50"/>
      <c r="Q142" s="89"/>
      <c r="R142" s="860"/>
      <c r="S142" s="861"/>
      <c r="T142" s="89"/>
      <c r="U142" s="562"/>
      <c r="W142" s="29"/>
      <c r="X142" s="29"/>
      <c r="Y142" s="859" t="str" cm="1">
        <f t="array" ref="Y142">IFERROR(IF(IFERROR(_xlfn.IFNA(LOOKUP(2,1/('Project SqFt'!$A$18:$A$160=W142)/('Project SqFt'!$B$18:$B$160=X142),'Project SqFt'!$F$18:$F$160),LOOKUP(2,1/('Project SqFt'!$H$18:$H$160=W142)/('Project SqFt'!$I$18:$I$160=X142),'Project SqFt'!$M$18:$M$160)),LOOKUP(2,1/('Project SqFt'!$P$18:$P$160=W142)/('Project SqFt'!$Q$18:$Q$160=X142),'Project SqFt'!$U$18:$U$160))="","",IFERROR(_xlfn.IFNA(LOOKUP(2,1/('Project SqFt'!$A$18:$A$160=W142)/('Project SqFt'!$B$18:$B$160=X142),'Project SqFt'!$F$18:$F$160),LOOKUP(2,1/('Project SqFt'!$H$18:$H$160=W142)/('Project SqFt'!$I$18:$I$160=X142),'Project SqFt'!$M$18:$M$160)),LOOKUP(2,1/('Project SqFt'!$P$18:$P$160=W142)/('Project SqFt'!$Q$18:$Q$160=X142),'Project SqFt'!$U$18:$U$160))),"")</f>
        <v/>
      </c>
      <c r="Z142" s="725"/>
      <c r="AA142" s="194" t="str" cm="1">
        <f t="array" ref="AA142">IFERROR(IF(IFERROR(_xlfn.IFNA(LOOKUP(2,1/('Project SqFt'!$A$18:$A$160=W142)/('Project SqFt'!$B$18:$B$160=X142),'Project SqFt'!$D$18:$D$160),LOOKUP(2,1/('Project SqFt'!$H$18:$H$160=W142)/('Project SqFt'!$I$18:$I$160=X142),'Project SqFt'!$L$18:$L$160)),LOOKUP(2,1/('Project SqFt'!$P$18:$P$160=W142)/('Project SqFt'!$Q$18:$Q$160=X142),'Project SqFt'!$T$18:$T$160))="","",IFERROR(_xlfn.IFNA(LOOKUP(2,1/('Project SqFt'!$A$18:$A$160=W142)/('Project SqFt'!$B$18:$B$160=X142),'Project SqFt'!$D$18:$D$160),LOOKUP(2,1/('Project SqFt'!$H$18:$H$160=W142)/('Project SqFt'!$I$18:$I$160=X142),'Project SqFt'!$L$18:$L$160)),LOOKUP(2,1/('Project SqFt'!$P$18:$P$160=W142)/('Project SqFt'!$Q$18:$Q$160=X142),'Project SqFt'!$T$18:$T$160))),"")</f>
        <v/>
      </c>
    </row>
    <row r="143" spans="1:27" x14ac:dyDescent="0.25">
      <c r="A143" s="73"/>
      <c r="B143" s="89"/>
      <c r="C143" s="561"/>
      <c r="D143" s="874"/>
      <c r="E143" s="875"/>
      <c r="F143" s="562"/>
      <c r="H143" s="50"/>
      <c r="I143" s="684"/>
      <c r="J143" s="684"/>
      <c r="K143" s="561"/>
      <c r="L143" s="89"/>
      <c r="M143" s="864"/>
      <c r="N143" s="865"/>
      <c r="P143" s="50"/>
      <c r="Q143" s="89"/>
      <c r="R143" s="860"/>
      <c r="S143" s="861"/>
      <c r="T143" s="89"/>
      <c r="U143" s="562"/>
      <c r="W143" s="29"/>
      <c r="X143" s="29"/>
      <c r="Y143" s="859" t="str" cm="1">
        <f t="array" ref="Y143">IFERROR(IF(IFERROR(_xlfn.IFNA(LOOKUP(2,1/('Project SqFt'!$A$18:$A$160=W143)/('Project SqFt'!$B$18:$B$160=X143),'Project SqFt'!$F$18:$F$160),LOOKUP(2,1/('Project SqFt'!$H$18:$H$160=W143)/('Project SqFt'!$I$18:$I$160=X143),'Project SqFt'!$M$18:$M$160)),LOOKUP(2,1/('Project SqFt'!$P$18:$P$160=W143)/('Project SqFt'!$Q$18:$Q$160=X143),'Project SqFt'!$U$18:$U$160))="","",IFERROR(_xlfn.IFNA(LOOKUP(2,1/('Project SqFt'!$A$18:$A$160=W143)/('Project SqFt'!$B$18:$B$160=X143),'Project SqFt'!$F$18:$F$160),LOOKUP(2,1/('Project SqFt'!$H$18:$H$160=W143)/('Project SqFt'!$I$18:$I$160=X143),'Project SqFt'!$M$18:$M$160)),LOOKUP(2,1/('Project SqFt'!$P$18:$P$160=W143)/('Project SqFt'!$Q$18:$Q$160=X143),'Project SqFt'!$U$18:$U$160))),"")</f>
        <v/>
      </c>
      <c r="Z143" s="725"/>
      <c r="AA143" s="194" t="str" cm="1">
        <f t="array" ref="AA143">IFERROR(IF(IFERROR(_xlfn.IFNA(LOOKUP(2,1/('Project SqFt'!$A$18:$A$160=W143)/('Project SqFt'!$B$18:$B$160=X143),'Project SqFt'!$D$18:$D$160),LOOKUP(2,1/('Project SqFt'!$H$18:$H$160=W143)/('Project SqFt'!$I$18:$I$160=X143),'Project SqFt'!$L$18:$L$160)),LOOKUP(2,1/('Project SqFt'!$P$18:$P$160=W143)/('Project SqFt'!$Q$18:$Q$160=X143),'Project SqFt'!$T$18:$T$160))="","",IFERROR(_xlfn.IFNA(LOOKUP(2,1/('Project SqFt'!$A$18:$A$160=W143)/('Project SqFt'!$B$18:$B$160=X143),'Project SqFt'!$D$18:$D$160),LOOKUP(2,1/('Project SqFt'!$H$18:$H$160=W143)/('Project SqFt'!$I$18:$I$160=X143),'Project SqFt'!$L$18:$L$160)),LOOKUP(2,1/('Project SqFt'!$P$18:$P$160=W143)/('Project SqFt'!$Q$18:$Q$160=X143),'Project SqFt'!$T$18:$T$160))),"")</f>
        <v/>
      </c>
    </row>
    <row r="144" spans="1:27" x14ac:dyDescent="0.25">
      <c r="A144" s="50"/>
      <c r="B144" s="89"/>
      <c r="C144" s="561"/>
      <c r="D144" s="874"/>
      <c r="E144" s="875"/>
      <c r="F144" s="562"/>
      <c r="H144" s="50"/>
      <c r="I144" s="684"/>
      <c r="J144" s="684"/>
      <c r="K144" s="561"/>
      <c r="L144" s="89"/>
      <c r="M144" s="864"/>
      <c r="N144" s="865"/>
      <c r="P144" s="50"/>
      <c r="Q144" s="89"/>
      <c r="R144" s="860"/>
      <c r="S144" s="861"/>
      <c r="T144" s="89"/>
      <c r="U144" s="562"/>
      <c r="W144" s="29"/>
      <c r="X144" s="29"/>
      <c r="Y144" s="859" t="str" cm="1">
        <f t="array" ref="Y144">IFERROR(IF(IFERROR(_xlfn.IFNA(LOOKUP(2,1/('Project SqFt'!$A$18:$A$160=W144)/('Project SqFt'!$B$18:$B$160=X144),'Project SqFt'!$F$18:$F$160),LOOKUP(2,1/('Project SqFt'!$H$18:$H$160=W144)/('Project SqFt'!$I$18:$I$160=X144),'Project SqFt'!$M$18:$M$160)),LOOKUP(2,1/('Project SqFt'!$P$18:$P$160=W144)/('Project SqFt'!$Q$18:$Q$160=X144),'Project SqFt'!$U$18:$U$160))="","",IFERROR(_xlfn.IFNA(LOOKUP(2,1/('Project SqFt'!$A$18:$A$160=W144)/('Project SqFt'!$B$18:$B$160=X144),'Project SqFt'!$F$18:$F$160),LOOKUP(2,1/('Project SqFt'!$H$18:$H$160=W144)/('Project SqFt'!$I$18:$I$160=X144),'Project SqFt'!$M$18:$M$160)),LOOKUP(2,1/('Project SqFt'!$P$18:$P$160=W144)/('Project SqFt'!$Q$18:$Q$160=X144),'Project SqFt'!$U$18:$U$160))),"")</f>
        <v/>
      </c>
      <c r="Z144" s="725"/>
      <c r="AA144" s="194" t="str" cm="1">
        <f t="array" ref="AA144">IFERROR(IF(IFERROR(_xlfn.IFNA(LOOKUP(2,1/('Project SqFt'!$A$18:$A$160=W144)/('Project SqFt'!$B$18:$B$160=X144),'Project SqFt'!$D$18:$D$160),LOOKUP(2,1/('Project SqFt'!$H$18:$H$160=W144)/('Project SqFt'!$I$18:$I$160=X144),'Project SqFt'!$L$18:$L$160)),LOOKUP(2,1/('Project SqFt'!$P$18:$P$160=W144)/('Project SqFt'!$Q$18:$Q$160=X144),'Project SqFt'!$T$18:$T$160))="","",IFERROR(_xlfn.IFNA(LOOKUP(2,1/('Project SqFt'!$A$18:$A$160=W144)/('Project SqFt'!$B$18:$B$160=X144),'Project SqFt'!$D$18:$D$160),LOOKUP(2,1/('Project SqFt'!$H$18:$H$160=W144)/('Project SqFt'!$I$18:$I$160=X144),'Project SqFt'!$L$18:$L$160)),LOOKUP(2,1/('Project SqFt'!$P$18:$P$160=W144)/('Project SqFt'!$Q$18:$Q$160=X144),'Project SqFt'!$T$18:$T$160))),"")</f>
        <v/>
      </c>
    </row>
    <row r="145" spans="1:27" x14ac:dyDescent="0.25">
      <c r="A145" s="73"/>
      <c r="B145" s="89"/>
      <c r="C145" s="561"/>
      <c r="D145" s="874"/>
      <c r="E145" s="875"/>
      <c r="F145" s="562"/>
      <c r="H145" s="50"/>
      <c r="I145" s="684"/>
      <c r="J145" s="684"/>
      <c r="K145" s="561"/>
      <c r="L145" s="89"/>
      <c r="M145" s="864"/>
      <c r="N145" s="865"/>
      <c r="P145" s="50"/>
      <c r="Q145" s="89"/>
      <c r="R145" s="860"/>
      <c r="S145" s="861"/>
      <c r="T145" s="89"/>
      <c r="U145" s="562"/>
      <c r="W145" s="29"/>
      <c r="X145" s="29"/>
      <c r="Y145" s="859" t="str" cm="1">
        <f t="array" ref="Y145">IFERROR(IF(IFERROR(_xlfn.IFNA(LOOKUP(2,1/('Project SqFt'!$A$18:$A$160=W145)/('Project SqFt'!$B$18:$B$160=X145),'Project SqFt'!$F$18:$F$160),LOOKUP(2,1/('Project SqFt'!$H$18:$H$160=W145)/('Project SqFt'!$I$18:$I$160=X145),'Project SqFt'!$M$18:$M$160)),LOOKUP(2,1/('Project SqFt'!$P$18:$P$160=W145)/('Project SqFt'!$Q$18:$Q$160=X145),'Project SqFt'!$U$18:$U$160))="","",IFERROR(_xlfn.IFNA(LOOKUP(2,1/('Project SqFt'!$A$18:$A$160=W145)/('Project SqFt'!$B$18:$B$160=X145),'Project SqFt'!$F$18:$F$160),LOOKUP(2,1/('Project SqFt'!$H$18:$H$160=W145)/('Project SqFt'!$I$18:$I$160=X145),'Project SqFt'!$M$18:$M$160)),LOOKUP(2,1/('Project SqFt'!$P$18:$P$160=W145)/('Project SqFt'!$Q$18:$Q$160=X145),'Project SqFt'!$U$18:$U$160))),"")</f>
        <v/>
      </c>
      <c r="Z145" s="725"/>
      <c r="AA145" s="194" t="str" cm="1">
        <f t="array" ref="AA145">IFERROR(IF(IFERROR(_xlfn.IFNA(LOOKUP(2,1/('Project SqFt'!$A$18:$A$160=W145)/('Project SqFt'!$B$18:$B$160=X145),'Project SqFt'!$D$18:$D$160),LOOKUP(2,1/('Project SqFt'!$H$18:$H$160=W145)/('Project SqFt'!$I$18:$I$160=X145),'Project SqFt'!$L$18:$L$160)),LOOKUP(2,1/('Project SqFt'!$P$18:$P$160=W145)/('Project SqFt'!$Q$18:$Q$160=X145),'Project SqFt'!$T$18:$T$160))="","",IFERROR(_xlfn.IFNA(LOOKUP(2,1/('Project SqFt'!$A$18:$A$160=W145)/('Project SqFt'!$B$18:$B$160=X145),'Project SqFt'!$D$18:$D$160),LOOKUP(2,1/('Project SqFt'!$H$18:$H$160=W145)/('Project SqFt'!$I$18:$I$160=X145),'Project SqFt'!$L$18:$L$160)),LOOKUP(2,1/('Project SqFt'!$P$18:$P$160=W145)/('Project SqFt'!$Q$18:$Q$160=X145),'Project SqFt'!$T$18:$T$160))),"")</f>
        <v/>
      </c>
    </row>
    <row r="146" spans="1:27" x14ac:dyDescent="0.25">
      <c r="A146" s="50"/>
      <c r="B146" s="89"/>
      <c r="C146" s="561"/>
      <c r="D146" s="874"/>
      <c r="E146" s="875"/>
      <c r="F146" s="562"/>
      <c r="H146" s="50"/>
      <c r="I146" s="684"/>
      <c r="J146" s="684"/>
      <c r="K146" s="561"/>
      <c r="L146" s="89"/>
      <c r="M146" s="864"/>
      <c r="N146" s="865"/>
      <c r="P146" s="50"/>
      <c r="Q146" s="89"/>
      <c r="R146" s="860"/>
      <c r="S146" s="861"/>
      <c r="T146" s="89"/>
      <c r="U146" s="562"/>
      <c r="W146" s="29"/>
      <c r="X146" s="29"/>
      <c r="Y146" s="859" t="str" cm="1">
        <f t="array" ref="Y146">IFERROR(IF(IFERROR(_xlfn.IFNA(LOOKUP(2,1/('Project SqFt'!$A$18:$A$160=W146)/('Project SqFt'!$B$18:$B$160=X146),'Project SqFt'!$F$18:$F$160),LOOKUP(2,1/('Project SqFt'!$H$18:$H$160=W146)/('Project SqFt'!$I$18:$I$160=X146),'Project SqFt'!$M$18:$M$160)),LOOKUP(2,1/('Project SqFt'!$P$18:$P$160=W146)/('Project SqFt'!$Q$18:$Q$160=X146),'Project SqFt'!$U$18:$U$160))="","",IFERROR(_xlfn.IFNA(LOOKUP(2,1/('Project SqFt'!$A$18:$A$160=W146)/('Project SqFt'!$B$18:$B$160=X146),'Project SqFt'!$F$18:$F$160),LOOKUP(2,1/('Project SqFt'!$H$18:$H$160=W146)/('Project SqFt'!$I$18:$I$160=X146),'Project SqFt'!$M$18:$M$160)),LOOKUP(2,1/('Project SqFt'!$P$18:$P$160=W146)/('Project SqFt'!$Q$18:$Q$160=X146),'Project SqFt'!$U$18:$U$160))),"")</f>
        <v/>
      </c>
      <c r="Z146" s="725"/>
      <c r="AA146" s="194" t="str" cm="1">
        <f t="array" ref="AA146">IFERROR(IF(IFERROR(_xlfn.IFNA(LOOKUP(2,1/('Project SqFt'!$A$18:$A$160=W146)/('Project SqFt'!$B$18:$B$160=X146),'Project SqFt'!$D$18:$D$160),LOOKUP(2,1/('Project SqFt'!$H$18:$H$160=W146)/('Project SqFt'!$I$18:$I$160=X146),'Project SqFt'!$L$18:$L$160)),LOOKUP(2,1/('Project SqFt'!$P$18:$P$160=W146)/('Project SqFt'!$Q$18:$Q$160=X146),'Project SqFt'!$T$18:$T$160))="","",IFERROR(_xlfn.IFNA(LOOKUP(2,1/('Project SqFt'!$A$18:$A$160=W146)/('Project SqFt'!$B$18:$B$160=X146),'Project SqFt'!$D$18:$D$160),LOOKUP(2,1/('Project SqFt'!$H$18:$H$160=W146)/('Project SqFt'!$I$18:$I$160=X146),'Project SqFt'!$L$18:$L$160)),LOOKUP(2,1/('Project SqFt'!$P$18:$P$160=W146)/('Project SqFt'!$Q$18:$Q$160=X146),'Project SqFt'!$T$18:$T$160))),"")</f>
        <v/>
      </c>
    </row>
    <row r="147" spans="1:27" x14ac:dyDescent="0.25">
      <c r="A147" s="73"/>
      <c r="B147" s="89"/>
      <c r="C147" s="561"/>
      <c r="D147" s="874"/>
      <c r="E147" s="875"/>
      <c r="F147" s="562"/>
      <c r="H147" s="50"/>
      <c r="I147" s="684"/>
      <c r="J147" s="684"/>
      <c r="K147" s="561"/>
      <c r="L147" s="89"/>
      <c r="M147" s="864"/>
      <c r="N147" s="865"/>
      <c r="P147" s="50"/>
      <c r="Q147" s="89"/>
      <c r="R147" s="860"/>
      <c r="S147" s="861"/>
      <c r="T147" s="89"/>
      <c r="U147" s="562"/>
      <c r="W147" s="29"/>
      <c r="X147" s="29"/>
      <c r="Y147" s="859" t="str" cm="1">
        <f t="array" ref="Y147">IFERROR(IF(IFERROR(_xlfn.IFNA(LOOKUP(2,1/('Project SqFt'!$A$18:$A$160=W147)/('Project SqFt'!$B$18:$B$160=X147),'Project SqFt'!$F$18:$F$160),LOOKUP(2,1/('Project SqFt'!$H$18:$H$160=W147)/('Project SqFt'!$I$18:$I$160=X147),'Project SqFt'!$M$18:$M$160)),LOOKUP(2,1/('Project SqFt'!$P$18:$P$160=W147)/('Project SqFt'!$Q$18:$Q$160=X147),'Project SqFt'!$U$18:$U$160))="","",IFERROR(_xlfn.IFNA(LOOKUP(2,1/('Project SqFt'!$A$18:$A$160=W147)/('Project SqFt'!$B$18:$B$160=X147),'Project SqFt'!$F$18:$F$160),LOOKUP(2,1/('Project SqFt'!$H$18:$H$160=W147)/('Project SqFt'!$I$18:$I$160=X147),'Project SqFt'!$M$18:$M$160)),LOOKUP(2,1/('Project SqFt'!$P$18:$P$160=W147)/('Project SqFt'!$Q$18:$Q$160=X147),'Project SqFt'!$U$18:$U$160))),"")</f>
        <v/>
      </c>
      <c r="Z147" s="725"/>
      <c r="AA147" s="194" t="str" cm="1">
        <f t="array" ref="AA147">IFERROR(IF(IFERROR(_xlfn.IFNA(LOOKUP(2,1/('Project SqFt'!$A$18:$A$160=W147)/('Project SqFt'!$B$18:$B$160=X147),'Project SqFt'!$D$18:$D$160),LOOKUP(2,1/('Project SqFt'!$H$18:$H$160=W147)/('Project SqFt'!$I$18:$I$160=X147),'Project SqFt'!$L$18:$L$160)),LOOKUP(2,1/('Project SqFt'!$P$18:$P$160=W147)/('Project SqFt'!$Q$18:$Q$160=X147),'Project SqFt'!$T$18:$T$160))="","",IFERROR(_xlfn.IFNA(LOOKUP(2,1/('Project SqFt'!$A$18:$A$160=W147)/('Project SqFt'!$B$18:$B$160=X147),'Project SqFt'!$D$18:$D$160),LOOKUP(2,1/('Project SqFt'!$H$18:$H$160=W147)/('Project SqFt'!$I$18:$I$160=X147),'Project SqFt'!$L$18:$L$160)),LOOKUP(2,1/('Project SqFt'!$P$18:$P$160=W147)/('Project SqFt'!$Q$18:$Q$160=X147),'Project SqFt'!$T$18:$T$160))),"")</f>
        <v/>
      </c>
    </row>
    <row r="148" spans="1:27" x14ac:dyDescent="0.25">
      <c r="A148" s="50"/>
      <c r="B148" s="89"/>
      <c r="C148" s="561"/>
      <c r="D148" s="874"/>
      <c r="E148" s="875"/>
      <c r="F148" s="562"/>
      <c r="H148" s="50"/>
      <c r="I148" s="684"/>
      <c r="J148" s="684"/>
      <c r="K148" s="561"/>
      <c r="L148" s="89"/>
      <c r="M148" s="864"/>
      <c r="N148" s="865"/>
      <c r="P148" s="50"/>
      <c r="Q148" s="89"/>
      <c r="R148" s="860"/>
      <c r="S148" s="861"/>
      <c r="T148" s="89"/>
      <c r="U148" s="562"/>
      <c r="W148" s="29"/>
      <c r="X148" s="29"/>
      <c r="Y148" s="859" t="str" cm="1">
        <f t="array" ref="Y148">IFERROR(IF(IFERROR(_xlfn.IFNA(LOOKUP(2,1/('Project SqFt'!$A$18:$A$160=W148)/('Project SqFt'!$B$18:$B$160=X148),'Project SqFt'!$F$18:$F$160),LOOKUP(2,1/('Project SqFt'!$H$18:$H$160=W148)/('Project SqFt'!$I$18:$I$160=X148),'Project SqFt'!$M$18:$M$160)),LOOKUP(2,1/('Project SqFt'!$P$18:$P$160=W148)/('Project SqFt'!$Q$18:$Q$160=X148),'Project SqFt'!$U$18:$U$160))="","",IFERROR(_xlfn.IFNA(LOOKUP(2,1/('Project SqFt'!$A$18:$A$160=W148)/('Project SqFt'!$B$18:$B$160=X148),'Project SqFt'!$F$18:$F$160),LOOKUP(2,1/('Project SqFt'!$H$18:$H$160=W148)/('Project SqFt'!$I$18:$I$160=X148),'Project SqFt'!$M$18:$M$160)),LOOKUP(2,1/('Project SqFt'!$P$18:$P$160=W148)/('Project SqFt'!$Q$18:$Q$160=X148),'Project SqFt'!$U$18:$U$160))),"")</f>
        <v/>
      </c>
      <c r="Z148" s="725"/>
      <c r="AA148" s="194" t="str" cm="1">
        <f t="array" ref="AA148">IFERROR(IF(IFERROR(_xlfn.IFNA(LOOKUP(2,1/('Project SqFt'!$A$18:$A$160=W148)/('Project SqFt'!$B$18:$B$160=X148),'Project SqFt'!$D$18:$D$160),LOOKUP(2,1/('Project SqFt'!$H$18:$H$160=W148)/('Project SqFt'!$I$18:$I$160=X148),'Project SqFt'!$L$18:$L$160)),LOOKUP(2,1/('Project SqFt'!$P$18:$P$160=W148)/('Project SqFt'!$Q$18:$Q$160=X148),'Project SqFt'!$T$18:$T$160))="","",IFERROR(_xlfn.IFNA(LOOKUP(2,1/('Project SqFt'!$A$18:$A$160=W148)/('Project SqFt'!$B$18:$B$160=X148),'Project SqFt'!$D$18:$D$160),LOOKUP(2,1/('Project SqFt'!$H$18:$H$160=W148)/('Project SqFt'!$I$18:$I$160=X148),'Project SqFt'!$L$18:$L$160)),LOOKUP(2,1/('Project SqFt'!$P$18:$P$160=W148)/('Project SqFt'!$Q$18:$Q$160=X148),'Project SqFt'!$T$18:$T$160))),"")</f>
        <v/>
      </c>
    </row>
    <row r="149" spans="1:27" x14ac:dyDescent="0.25">
      <c r="A149" s="73"/>
      <c r="B149" s="89"/>
      <c r="C149" s="561"/>
      <c r="D149" s="874"/>
      <c r="E149" s="875"/>
      <c r="F149" s="562"/>
      <c r="H149" s="50"/>
      <c r="I149" s="684"/>
      <c r="J149" s="684"/>
      <c r="K149" s="561"/>
      <c r="L149" s="89"/>
      <c r="M149" s="864"/>
      <c r="N149" s="865"/>
      <c r="P149" s="50"/>
      <c r="Q149" s="89"/>
      <c r="R149" s="860"/>
      <c r="S149" s="861"/>
      <c r="T149" s="89"/>
      <c r="U149" s="562"/>
      <c r="W149" s="29"/>
      <c r="X149" s="29"/>
      <c r="Y149" s="859" t="str" cm="1">
        <f t="array" ref="Y149">IFERROR(IF(IFERROR(_xlfn.IFNA(LOOKUP(2,1/('Project SqFt'!$A$18:$A$160=W149)/('Project SqFt'!$B$18:$B$160=X149),'Project SqFt'!$F$18:$F$160),LOOKUP(2,1/('Project SqFt'!$H$18:$H$160=W149)/('Project SqFt'!$I$18:$I$160=X149),'Project SqFt'!$M$18:$M$160)),LOOKUP(2,1/('Project SqFt'!$P$18:$P$160=W149)/('Project SqFt'!$Q$18:$Q$160=X149),'Project SqFt'!$U$18:$U$160))="","",IFERROR(_xlfn.IFNA(LOOKUP(2,1/('Project SqFt'!$A$18:$A$160=W149)/('Project SqFt'!$B$18:$B$160=X149),'Project SqFt'!$F$18:$F$160),LOOKUP(2,1/('Project SqFt'!$H$18:$H$160=W149)/('Project SqFt'!$I$18:$I$160=X149),'Project SqFt'!$M$18:$M$160)),LOOKUP(2,1/('Project SqFt'!$P$18:$P$160=W149)/('Project SqFt'!$Q$18:$Q$160=X149),'Project SqFt'!$U$18:$U$160))),"")</f>
        <v/>
      </c>
      <c r="Z149" s="725"/>
      <c r="AA149" s="194" t="str" cm="1">
        <f t="array" ref="AA149">IFERROR(IF(IFERROR(_xlfn.IFNA(LOOKUP(2,1/('Project SqFt'!$A$18:$A$160=W149)/('Project SqFt'!$B$18:$B$160=X149),'Project SqFt'!$D$18:$D$160),LOOKUP(2,1/('Project SqFt'!$H$18:$H$160=W149)/('Project SqFt'!$I$18:$I$160=X149),'Project SqFt'!$L$18:$L$160)),LOOKUP(2,1/('Project SqFt'!$P$18:$P$160=W149)/('Project SqFt'!$Q$18:$Q$160=X149),'Project SqFt'!$T$18:$T$160))="","",IFERROR(_xlfn.IFNA(LOOKUP(2,1/('Project SqFt'!$A$18:$A$160=W149)/('Project SqFt'!$B$18:$B$160=X149),'Project SqFt'!$D$18:$D$160),LOOKUP(2,1/('Project SqFt'!$H$18:$H$160=W149)/('Project SqFt'!$I$18:$I$160=X149),'Project SqFt'!$L$18:$L$160)),LOOKUP(2,1/('Project SqFt'!$P$18:$P$160=W149)/('Project SqFt'!$Q$18:$Q$160=X149),'Project SqFt'!$T$18:$T$160))),"")</f>
        <v/>
      </c>
    </row>
    <row r="150" spans="1:27" x14ac:dyDescent="0.25">
      <c r="A150" s="50"/>
      <c r="B150" s="89"/>
      <c r="C150" s="561"/>
      <c r="D150" s="874"/>
      <c r="E150" s="875"/>
      <c r="F150" s="562"/>
      <c r="H150" s="50"/>
      <c r="I150" s="684"/>
      <c r="J150" s="684"/>
      <c r="K150" s="561"/>
      <c r="L150" s="89"/>
      <c r="M150" s="864"/>
      <c r="N150" s="865"/>
      <c r="P150" s="50"/>
      <c r="Q150" s="89"/>
      <c r="R150" s="860"/>
      <c r="S150" s="861"/>
      <c r="T150" s="89"/>
      <c r="U150" s="562"/>
      <c r="W150" s="29"/>
      <c r="X150" s="29"/>
      <c r="Y150" s="859" t="str" cm="1">
        <f t="array" ref="Y150">IFERROR(IF(IFERROR(_xlfn.IFNA(LOOKUP(2,1/('Project SqFt'!$A$18:$A$160=W150)/('Project SqFt'!$B$18:$B$160=X150),'Project SqFt'!$F$18:$F$160),LOOKUP(2,1/('Project SqFt'!$H$18:$H$160=W150)/('Project SqFt'!$I$18:$I$160=X150),'Project SqFt'!$M$18:$M$160)),LOOKUP(2,1/('Project SqFt'!$P$18:$P$160=W150)/('Project SqFt'!$Q$18:$Q$160=X150),'Project SqFt'!$U$18:$U$160))="","",IFERROR(_xlfn.IFNA(LOOKUP(2,1/('Project SqFt'!$A$18:$A$160=W150)/('Project SqFt'!$B$18:$B$160=X150),'Project SqFt'!$F$18:$F$160),LOOKUP(2,1/('Project SqFt'!$H$18:$H$160=W150)/('Project SqFt'!$I$18:$I$160=X150),'Project SqFt'!$M$18:$M$160)),LOOKUP(2,1/('Project SqFt'!$P$18:$P$160=W150)/('Project SqFt'!$Q$18:$Q$160=X150),'Project SqFt'!$U$18:$U$160))),"")</f>
        <v/>
      </c>
      <c r="Z150" s="725"/>
      <c r="AA150" s="194" t="str" cm="1">
        <f t="array" ref="AA150">IFERROR(IF(IFERROR(_xlfn.IFNA(LOOKUP(2,1/('Project SqFt'!$A$18:$A$160=W150)/('Project SqFt'!$B$18:$B$160=X150),'Project SqFt'!$D$18:$D$160),LOOKUP(2,1/('Project SqFt'!$H$18:$H$160=W150)/('Project SqFt'!$I$18:$I$160=X150),'Project SqFt'!$L$18:$L$160)),LOOKUP(2,1/('Project SqFt'!$P$18:$P$160=W150)/('Project SqFt'!$Q$18:$Q$160=X150),'Project SqFt'!$T$18:$T$160))="","",IFERROR(_xlfn.IFNA(LOOKUP(2,1/('Project SqFt'!$A$18:$A$160=W150)/('Project SqFt'!$B$18:$B$160=X150),'Project SqFt'!$D$18:$D$160),LOOKUP(2,1/('Project SqFt'!$H$18:$H$160=W150)/('Project SqFt'!$I$18:$I$160=X150),'Project SqFt'!$L$18:$L$160)),LOOKUP(2,1/('Project SqFt'!$P$18:$P$160=W150)/('Project SqFt'!$Q$18:$Q$160=X150),'Project SqFt'!$T$18:$T$160))),"")</f>
        <v/>
      </c>
    </row>
    <row r="151" spans="1:27" x14ac:dyDescent="0.25">
      <c r="A151" s="73"/>
      <c r="B151" s="89"/>
      <c r="C151" s="561"/>
      <c r="D151" s="874"/>
      <c r="E151" s="875"/>
      <c r="F151" s="562"/>
      <c r="H151" s="50"/>
      <c r="I151" s="684"/>
      <c r="J151" s="684"/>
      <c r="K151" s="561"/>
      <c r="L151" s="89"/>
      <c r="M151" s="864"/>
      <c r="N151" s="865"/>
      <c r="P151" s="50"/>
      <c r="Q151" s="89"/>
      <c r="R151" s="860"/>
      <c r="S151" s="861"/>
      <c r="T151" s="89"/>
      <c r="U151" s="562"/>
      <c r="W151" s="29"/>
      <c r="X151" s="29"/>
      <c r="Y151" s="859" t="str" cm="1">
        <f t="array" ref="Y151">IFERROR(IF(IFERROR(_xlfn.IFNA(LOOKUP(2,1/('Project SqFt'!$A$18:$A$160=W151)/('Project SqFt'!$B$18:$B$160=X151),'Project SqFt'!$F$18:$F$160),LOOKUP(2,1/('Project SqFt'!$H$18:$H$160=W151)/('Project SqFt'!$I$18:$I$160=X151),'Project SqFt'!$M$18:$M$160)),LOOKUP(2,1/('Project SqFt'!$P$18:$P$160=W151)/('Project SqFt'!$Q$18:$Q$160=X151),'Project SqFt'!$U$18:$U$160))="","",IFERROR(_xlfn.IFNA(LOOKUP(2,1/('Project SqFt'!$A$18:$A$160=W151)/('Project SqFt'!$B$18:$B$160=X151),'Project SqFt'!$F$18:$F$160),LOOKUP(2,1/('Project SqFt'!$H$18:$H$160=W151)/('Project SqFt'!$I$18:$I$160=X151),'Project SqFt'!$M$18:$M$160)),LOOKUP(2,1/('Project SqFt'!$P$18:$P$160=W151)/('Project SqFt'!$Q$18:$Q$160=X151),'Project SqFt'!$U$18:$U$160))),"")</f>
        <v/>
      </c>
      <c r="Z151" s="725"/>
      <c r="AA151" s="194" t="str" cm="1">
        <f t="array" ref="AA151">IFERROR(IF(IFERROR(_xlfn.IFNA(LOOKUP(2,1/('Project SqFt'!$A$18:$A$160=W151)/('Project SqFt'!$B$18:$B$160=X151),'Project SqFt'!$D$18:$D$160),LOOKUP(2,1/('Project SqFt'!$H$18:$H$160=W151)/('Project SqFt'!$I$18:$I$160=X151),'Project SqFt'!$L$18:$L$160)),LOOKUP(2,1/('Project SqFt'!$P$18:$P$160=W151)/('Project SqFt'!$Q$18:$Q$160=X151),'Project SqFt'!$T$18:$T$160))="","",IFERROR(_xlfn.IFNA(LOOKUP(2,1/('Project SqFt'!$A$18:$A$160=W151)/('Project SqFt'!$B$18:$B$160=X151),'Project SqFt'!$D$18:$D$160),LOOKUP(2,1/('Project SqFt'!$H$18:$H$160=W151)/('Project SqFt'!$I$18:$I$160=X151),'Project SqFt'!$L$18:$L$160)),LOOKUP(2,1/('Project SqFt'!$P$18:$P$160=W151)/('Project SqFt'!$Q$18:$Q$160=X151),'Project SqFt'!$T$18:$T$160))),"")</f>
        <v/>
      </c>
    </row>
    <row r="152" spans="1:27" x14ac:dyDescent="0.25">
      <c r="A152" s="50"/>
      <c r="B152" s="89"/>
      <c r="C152" s="561"/>
      <c r="D152" s="874"/>
      <c r="E152" s="875"/>
      <c r="F152" s="562"/>
      <c r="H152" s="50"/>
      <c r="I152" s="684"/>
      <c r="J152" s="684"/>
      <c r="K152" s="561"/>
      <c r="L152" s="89"/>
      <c r="M152" s="864"/>
      <c r="N152" s="865"/>
      <c r="P152" s="50"/>
      <c r="Q152" s="89"/>
      <c r="R152" s="860"/>
      <c r="S152" s="861"/>
      <c r="T152" s="89"/>
      <c r="U152" s="562"/>
      <c r="W152" s="29"/>
      <c r="X152" s="29"/>
      <c r="Y152" s="859" t="str" cm="1">
        <f t="array" ref="Y152">IFERROR(IF(IFERROR(_xlfn.IFNA(LOOKUP(2,1/('Project SqFt'!$A$18:$A$160=W152)/('Project SqFt'!$B$18:$B$160=X152),'Project SqFt'!$F$18:$F$160),LOOKUP(2,1/('Project SqFt'!$H$18:$H$160=W152)/('Project SqFt'!$I$18:$I$160=X152),'Project SqFt'!$M$18:$M$160)),LOOKUP(2,1/('Project SqFt'!$P$18:$P$160=W152)/('Project SqFt'!$Q$18:$Q$160=X152),'Project SqFt'!$U$18:$U$160))="","",IFERROR(_xlfn.IFNA(LOOKUP(2,1/('Project SqFt'!$A$18:$A$160=W152)/('Project SqFt'!$B$18:$B$160=X152),'Project SqFt'!$F$18:$F$160),LOOKUP(2,1/('Project SqFt'!$H$18:$H$160=W152)/('Project SqFt'!$I$18:$I$160=X152),'Project SqFt'!$M$18:$M$160)),LOOKUP(2,1/('Project SqFt'!$P$18:$P$160=W152)/('Project SqFt'!$Q$18:$Q$160=X152),'Project SqFt'!$U$18:$U$160))),"")</f>
        <v/>
      </c>
      <c r="Z152" s="725"/>
      <c r="AA152" s="194" t="str" cm="1">
        <f t="array" ref="AA152">IFERROR(IF(IFERROR(_xlfn.IFNA(LOOKUP(2,1/('Project SqFt'!$A$18:$A$160=W152)/('Project SqFt'!$B$18:$B$160=X152),'Project SqFt'!$D$18:$D$160),LOOKUP(2,1/('Project SqFt'!$H$18:$H$160=W152)/('Project SqFt'!$I$18:$I$160=X152),'Project SqFt'!$L$18:$L$160)),LOOKUP(2,1/('Project SqFt'!$P$18:$P$160=W152)/('Project SqFt'!$Q$18:$Q$160=X152),'Project SqFt'!$T$18:$T$160))="","",IFERROR(_xlfn.IFNA(LOOKUP(2,1/('Project SqFt'!$A$18:$A$160=W152)/('Project SqFt'!$B$18:$B$160=X152),'Project SqFt'!$D$18:$D$160),LOOKUP(2,1/('Project SqFt'!$H$18:$H$160=W152)/('Project SqFt'!$I$18:$I$160=X152),'Project SqFt'!$L$18:$L$160)),LOOKUP(2,1/('Project SqFt'!$P$18:$P$160=W152)/('Project SqFt'!$Q$18:$Q$160=X152),'Project SqFt'!$T$18:$T$160))),"")</f>
        <v/>
      </c>
    </row>
    <row r="153" spans="1:27" x14ac:dyDescent="0.25">
      <c r="A153" s="73"/>
      <c r="B153" s="89"/>
      <c r="C153" s="561"/>
      <c r="D153" s="874"/>
      <c r="E153" s="875"/>
      <c r="F153" s="562"/>
      <c r="H153" s="50"/>
      <c r="I153" s="684"/>
      <c r="J153" s="684"/>
      <c r="K153" s="561"/>
      <c r="L153" s="89"/>
      <c r="M153" s="864"/>
      <c r="N153" s="865"/>
      <c r="P153" s="50"/>
      <c r="Q153" s="89"/>
      <c r="R153" s="860"/>
      <c r="S153" s="861"/>
      <c r="T153" s="89"/>
      <c r="U153" s="562"/>
      <c r="W153" s="29"/>
      <c r="X153" s="29"/>
      <c r="Y153" s="859" t="str" cm="1">
        <f t="array" ref="Y153">IFERROR(IF(IFERROR(_xlfn.IFNA(LOOKUP(2,1/('Project SqFt'!$A$18:$A$160=W153)/('Project SqFt'!$B$18:$B$160=X153),'Project SqFt'!$F$18:$F$160),LOOKUP(2,1/('Project SqFt'!$H$18:$H$160=W153)/('Project SqFt'!$I$18:$I$160=X153),'Project SqFt'!$M$18:$M$160)),LOOKUP(2,1/('Project SqFt'!$P$18:$P$160=W153)/('Project SqFt'!$Q$18:$Q$160=X153),'Project SqFt'!$U$18:$U$160))="","",IFERROR(_xlfn.IFNA(LOOKUP(2,1/('Project SqFt'!$A$18:$A$160=W153)/('Project SqFt'!$B$18:$B$160=X153),'Project SqFt'!$F$18:$F$160),LOOKUP(2,1/('Project SqFt'!$H$18:$H$160=W153)/('Project SqFt'!$I$18:$I$160=X153),'Project SqFt'!$M$18:$M$160)),LOOKUP(2,1/('Project SqFt'!$P$18:$P$160=W153)/('Project SqFt'!$Q$18:$Q$160=X153),'Project SqFt'!$U$18:$U$160))),"")</f>
        <v/>
      </c>
      <c r="Z153" s="725"/>
      <c r="AA153" s="194" t="str" cm="1">
        <f t="array" ref="AA153">IFERROR(IF(IFERROR(_xlfn.IFNA(LOOKUP(2,1/('Project SqFt'!$A$18:$A$160=W153)/('Project SqFt'!$B$18:$B$160=X153),'Project SqFt'!$D$18:$D$160),LOOKUP(2,1/('Project SqFt'!$H$18:$H$160=W153)/('Project SqFt'!$I$18:$I$160=X153),'Project SqFt'!$L$18:$L$160)),LOOKUP(2,1/('Project SqFt'!$P$18:$P$160=W153)/('Project SqFt'!$Q$18:$Q$160=X153),'Project SqFt'!$T$18:$T$160))="","",IFERROR(_xlfn.IFNA(LOOKUP(2,1/('Project SqFt'!$A$18:$A$160=W153)/('Project SqFt'!$B$18:$B$160=X153),'Project SqFt'!$D$18:$D$160),LOOKUP(2,1/('Project SqFt'!$H$18:$H$160=W153)/('Project SqFt'!$I$18:$I$160=X153),'Project SqFt'!$L$18:$L$160)),LOOKUP(2,1/('Project SqFt'!$P$18:$P$160=W153)/('Project SqFt'!$Q$18:$Q$160=X153),'Project SqFt'!$T$18:$T$160))),"")</f>
        <v/>
      </c>
    </row>
    <row r="154" spans="1:27" x14ac:dyDescent="0.25">
      <c r="A154" s="50"/>
      <c r="B154" s="89"/>
      <c r="C154" s="561"/>
      <c r="D154" s="874"/>
      <c r="E154" s="875"/>
      <c r="F154" s="562"/>
      <c r="H154" s="50"/>
      <c r="I154" s="684"/>
      <c r="J154" s="684"/>
      <c r="K154" s="561"/>
      <c r="L154" s="89"/>
      <c r="M154" s="864"/>
      <c r="N154" s="865"/>
      <c r="P154" s="50"/>
      <c r="Q154" s="89"/>
      <c r="R154" s="860"/>
      <c r="S154" s="861"/>
      <c r="T154" s="89"/>
      <c r="U154" s="562"/>
      <c r="W154" s="29"/>
      <c r="X154" s="29"/>
      <c r="Y154" s="859" t="str" cm="1">
        <f t="array" ref="Y154">IFERROR(IF(IFERROR(_xlfn.IFNA(LOOKUP(2,1/('Project SqFt'!$A$18:$A$160=W154)/('Project SqFt'!$B$18:$B$160=X154),'Project SqFt'!$F$18:$F$160),LOOKUP(2,1/('Project SqFt'!$H$18:$H$160=W154)/('Project SqFt'!$I$18:$I$160=X154),'Project SqFt'!$M$18:$M$160)),LOOKUP(2,1/('Project SqFt'!$P$18:$P$160=W154)/('Project SqFt'!$Q$18:$Q$160=X154),'Project SqFt'!$U$18:$U$160))="","",IFERROR(_xlfn.IFNA(LOOKUP(2,1/('Project SqFt'!$A$18:$A$160=W154)/('Project SqFt'!$B$18:$B$160=X154),'Project SqFt'!$F$18:$F$160),LOOKUP(2,1/('Project SqFt'!$H$18:$H$160=W154)/('Project SqFt'!$I$18:$I$160=X154),'Project SqFt'!$M$18:$M$160)),LOOKUP(2,1/('Project SqFt'!$P$18:$P$160=W154)/('Project SqFt'!$Q$18:$Q$160=X154),'Project SqFt'!$U$18:$U$160))),"")</f>
        <v/>
      </c>
      <c r="Z154" s="725"/>
      <c r="AA154" s="194" t="str" cm="1">
        <f t="array" ref="AA154">IFERROR(IF(IFERROR(_xlfn.IFNA(LOOKUP(2,1/('Project SqFt'!$A$18:$A$160=W154)/('Project SqFt'!$B$18:$B$160=X154),'Project SqFt'!$D$18:$D$160),LOOKUP(2,1/('Project SqFt'!$H$18:$H$160=W154)/('Project SqFt'!$I$18:$I$160=X154),'Project SqFt'!$L$18:$L$160)),LOOKUP(2,1/('Project SqFt'!$P$18:$P$160=W154)/('Project SqFt'!$Q$18:$Q$160=X154),'Project SqFt'!$T$18:$T$160))="","",IFERROR(_xlfn.IFNA(LOOKUP(2,1/('Project SqFt'!$A$18:$A$160=W154)/('Project SqFt'!$B$18:$B$160=X154),'Project SqFt'!$D$18:$D$160),LOOKUP(2,1/('Project SqFt'!$H$18:$H$160=W154)/('Project SqFt'!$I$18:$I$160=X154),'Project SqFt'!$L$18:$L$160)),LOOKUP(2,1/('Project SqFt'!$P$18:$P$160=W154)/('Project SqFt'!$Q$18:$Q$160=X154),'Project SqFt'!$T$18:$T$160))),"")</f>
        <v/>
      </c>
    </row>
    <row r="155" spans="1:27" x14ac:dyDescent="0.25">
      <c r="A155" s="73"/>
      <c r="B155" s="89"/>
      <c r="C155" s="561"/>
      <c r="D155" s="874"/>
      <c r="E155" s="875"/>
      <c r="F155" s="562"/>
      <c r="H155" s="50"/>
      <c r="I155" s="684"/>
      <c r="J155" s="684"/>
      <c r="K155" s="561"/>
      <c r="L155" s="89"/>
      <c r="M155" s="864"/>
      <c r="N155" s="865"/>
      <c r="P155" s="50"/>
      <c r="Q155" s="89"/>
      <c r="R155" s="860"/>
      <c r="S155" s="861"/>
      <c r="T155" s="89"/>
      <c r="U155" s="562"/>
      <c r="W155" s="29"/>
      <c r="X155" s="29"/>
      <c r="Y155" s="859" t="str" cm="1">
        <f t="array" ref="Y155">IFERROR(IF(IFERROR(_xlfn.IFNA(LOOKUP(2,1/('Project SqFt'!$A$18:$A$160=W155)/('Project SqFt'!$B$18:$B$160=X155),'Project SqFt'!$F$18:$F$160),LOOKUP(2,1/('Project SqFt'!$H$18:$H$160=W155)/('Project SqFt'!$I$18:$I$160=X155),'Project SqFt'!$M$18:$M$160)),LOOKUP(2,1/('Project SqFt'!$P$18:$P$160=W155)/('Project SqFt'!$Q$18:$Q$160=X155),'Project SqFt'!$U$18:$U$160))="","",IFERROR(_xlfn.IFNA(LOOKUP(2,1/('Project SqFt'!$A$18:$A$160=W155)/('Project SqFt'!$B$18:$B$160=X155),'Project SqFt'!$F$18:$F$160),LOOKUP(2,1/('Project SqFt'!$H$18:$H$160=W155)/('Project SqFt'!$I$18:$I$160=X155),'Project SqFt'!$M$18:$M$160)),LOOKUP(2,1/('Project SqFt'!$P$18:$P$160=W155)/('Project SqFt'!$Q$18:$Q$160=X155),'Project SqFt'!$U$18:$U$160))),"")</f>
        <v/>
      </c>
      <c r="Z155" s="725"/>
      <c r="AA155" s="194" t="str" cm="1">
        <f t="array" ref="AA155">IFERROR(IF(IFERROR(_xlfn.IFNA(LOOKUP(2,1/('Project SqFt'!$A$18:$A$160=W155)/('Project SqFt'!$B$18:$B$160=X155),'Project SqFt'!$D$18:$D$160),LOOKUP(2,1/('Project SqFt'!$H$18:$H$160=W155)/('Project SqFt'!$I$18:$I$160=X155),'Project SqFt'!$L$18:$L$160)),LOOKUP(2,1/('Project SqFt'!$P$18:$P$160=W155)/('Project SqFt'!$Q$18:$Q$160=X155),'Project SqFt'!$T$18:$T$160))="","",IFERROR(_xlfn.IFNA(LOOKUP(2,1/('Project SqFt'!$A$18:$A$160=W155)/('Project SqFt'!$B$18:$B$160=X155),'Project SqFt'!$D$18:$D$160),LOOKUP(2,1/('Project SqFt'!$H$18:$H$160=W155)/('Project SqFt'!$I$18:$I$160=X155),'Project SqFt'!$L$18:$L$160)),LOOKUP(2,1/('Project SqFt'!$P$18:$P$160=W155)/('Project SqFt'!$Q$18:$Q$160=X155),'Project SqFt'!$T$18:$T$160))),"")</f>
        <v/>
      </c>
    </row>
    <row r="156" spans="1:27" x14ac:dyDescent="0.25">
      <c r="A156" s="50"/>
      <c r="B156" s="89"/>
      <c r="C156" s="561"/>
      <c r="D156" s="874"/>
      <c r="E156" s="875"/>
      <c r="F156" s="562"/>
      <c r="H156" s="50"/>
      <c r="I156" s="684"/>
      <c r="J156" s="684"/>
      <c r="K156" s="561"/>
      <c r="L156" s="89"/>
      <c r="M156" s="864"/>
      <c r="N156" s="865"/>
      <c r="P156" s="50"/>
      <c r="Q156" s="89"/>
      <c r="R156" s="860"/>
      <c r="S156" s="861"/>
      <c r="T156" s="89"/>
      <c r="U156" s="562"/>
      <c r="W156" s="29"/>
      <c r="X156" s="29"/>
      <c r="Y156" s="859" t="str" cm="1">
        <f t="array" ref="Y156">IFERROR(IF(IFERROR(_xlfn.IFNA(LOOKUP(2,1/('Project SqFt'!$A$18:$A$160=W156)/('Project SqFt'!$B$18:$B$160=X156),'Project SqFt'!$F$18:$F$160),LOOKUP(2,1/('Project SqFt'!$H$18:$H$160=W156)/('Project SqFt'!$I$18:$I$160=X156),'Project SqFt'!$M$18:$M$160)),LOOKUP(2,1/('Project SqFt'!$P$18:$P$160=W156)/('Project SqFt'!$Q$18:$Q$160=X156),'Project SqFt'!$U$18:$U$160))="","",IFERROR(_xlfn.IFNA(LOOKUP(2,1/('Project SqFt'!$A$18:$A$160=W156)/('Project SqFt'!$B$18:$B$160=X156),'Project SqFt'!$F$18:$F$160),LOOKUP(2,1/('Project SqFt'!$H$18:$H$160=W156)/('Project SqFt'!$I$18:$I$160=X156),'Project SqFt'!$M$18:$M$160)),LOOKUP(2,1/('Project SqFt'!$P$18:$P$160=W156)/('Project SqFt'!$Q$18:$Q$160=X156),'Project SqFt'!$U$18:$U$160))),"")</f>
        <v/>
      </c>
      <c r="Z156" s="725"/>
      <c r="AA156" s="194" t="str" cm="1">
        <f t="array" ref="AA156">IFERROR(IF(IFERROR(_xlfn.IFNA(LOOKUP(2,1/('Project SqFt'!$A$18:$A$160=W156)/('Project SqFt'!$B$18:$B$160=X156),'Project SqFt'!$D$18:$D$160),LOOKUP(2,1/('Project SqFt'!$H$18:$H$160=W156)/('Project SqFt'!$I$18:$I$160=X156),'Project SqFt'!$L$18:$L$160)),LOOKUP(2,1/('Project SqFt'!$P$18:$P$160=W156)/('Project SqFt'!$Q$18:$Q$160=X156),'Project SqFt'!$T$18:$T$160))="","",IFERROR(_xlfn.IFNA(LOOKUP(2,1/('Project SqFt'!$A$18:$A$160=W156)/('Project SqFt'!$B$18:$B$160=X156),'Project SqFt'!$D$18:$D$160),LOOKUP(2,1/('Project SqFt'!$H$18:$H$160=W156)/('Project SqFt'!$I$18:$I$160=X156),'Project SqFt'!$L$18:$L$160)),LOOKUP(2,1/('Project SqFt'!$P$18:$P$160=W156)/('Project SqFt'!$Q$18:$Q$160=X156),'Project SqFt'!$T$18:$T$160))),"")</f>
        <v/>
      </c>
    </row>
    <row r="157" spans="1:27" x14ac:dyDescent="0.25">
      <c r="A157" s="73"/>
      <c r="B157" s="89"/>
      <c r="C157" s="561"/>
      <c r="D157" s="874"/>
      <c r="E157" s="875"/>
      <c r="F157" s="562"/>
      <c r="H157" s="50"/>
      <c r="I157" s="684"/>
      <c r="J157" s="684"/>
      <c r="K157" s="561"/>
      <c r="L157" s="89"/>
      <c r="M157" s="864"/>
      <c r="N157" s="865"/>
      <c r="P157" s="50"/>
      <c r="Q157" s="89"/>
      <c r="R157" s="860"/>
      <c r="S157" s="861"/>
      <c r="T157" s="89"/>
      <c r="U157" s="562"/>
      <c r="W157" s="29"/>
      <c r="X157" s="29"/>
      <c r="Y157" s="859" t="str" cm="1">
        <f t="array" ref="Y157">IFERROR(IF(IFERROR(_xlfn.IFNA(LOOKUP(2,1/('Project SqFt'!$A$18:$A$160=W157)/('Project SqFt'!$B$18:$B$160=X157),'Project SqFt'!$F$18:$F$160),LOOKUP(2,1/('Project SqFt'!$H$18:$H$160=W157)/('Project SqFt'!$I$18:$I$160=X157),'Project SqFt'!$M$18:$M$160)),LOOKUP(2,1/('Project SqFt'!$P$18:$P$160=W157)/('Project SqFt'!$Q$18:$Q$160=X157),'Project SqFt'!$U$18:$U$160))="","",IFERROR(_xlfn.IFNA(LOOKUP(2,1/('Project SqFt'!$A$18:$A$160=W157)/('Project SqFt'!$B$18:$B$160=X157),'Project SqFt'!$F$18:$F$160),LOOKUP(2,1/('Project SqFt'!$H$18:$H$160=W157)/('Project SqFt'!$I$18:$I$160=X157),'Project SqFt'!$M$18:$M$160)),LOOKUP(2,1/('Project SqFt'!$P$18:$P$160=W157)/('Project SqFt'!$Q$18:$Q$160=X157),'Project SqFt'!$U$18:$U$160))),"")</f>
        <v/>
      </c>
      <c r="Z157" s="725"/>
      <c r="AA157" s="194" t="str" cm="1">
        <f t="array" ref="AA157">IFERROR(IF(IFERROR(_xlfn.IFNA(LOOKUP(2,1/('Project SqFt'!$A$18:$A$160=W157)/('Project SqFt'!$B$18:$B$160=X157),'Project SqFt'!$D$18:$D$160),LOOKUP(2,1/('Project SqFt'!$H$18:$H$160=W157)/('Project SqFt'!$I$18:$I$160=X157),'Project SqFt'!$L$18:$L$160)),LOOKUP(2,1/('Project SqFt'!$P$18:$P$160=W157)/('Project SqFt'!$Q$18:$Q$160=X157),'Project SqFt'!$T$18:$T$160))="","",IFERROR(_xlfn.IFNA(LOOKUP(2,1/('Project SqFt'!$A$18:$A$160=W157)/('Project SqFt'!$B$18:$B$160=X157),'Project SqFt'!$D$18:$D$160),LOOKUP(2,1/('Project SqFt'!$H$18:$H$160=W157)/('Project SqFt'!$I$18:$I$160=X157),'Project SqFt'!$L$18:$L$160)),LOOKUP(2,1/('Project SqFt'!$P$18:$P$160=W157)/('Project SqFt'!$Q$18:$Q$160=X157),'Project SqFt'!$T$18:$T$160))),"")</f>
        <v/>
      </c>
    </row>
    <row r="158" spans="1:27" x14ac:dyDescent="0.25">
      <c r="A158" s="50"/>
      <c r="B158" s="89"/>
      <c r="C158" s="561"/>
      <c r="D158" s="874"/>
      <c r="E158" s="875"/>
      <c r="F158" s="562"/>
      <c r="H158" s="50"/>
      <c r="I158" s="684"/>
      <c r="J158" s="684"/>
      <c r="K158" s="561"/>
      <c r="L158" s="89"/>
      <c r="M158" s="864"/>
      <c r="N158" s="865"/>
      <c r="P158" s="50"/>
      <c r="Q158" s="89"/>
      <c r="R158" s="860"/>
      <c r="S158" s="861"/>
      <c r="T158" s="89"/>
      <c r="U158" s="562"/>
      <c r="W158" s="29"/>
      <c r="X158" s="29"/>
      <c r="Y158" s="859" t="str" cm="1">
        <f t="array" ref="Y158">IFERROR(IF(IFERROR(_xlfn.IFNA(LOOKUP(2,1/('Project SqFt'!$A$18:$A$160=W158)/('Project SqFt'!$B$18:$B$160=X158),'Project SqFt'!$F$18:$F$160),LOOKUP(2,1/('Project SqFt'!$H$18:$H$160=W158)/('Project SqFt'!$I$18:$I$160=X158),'Project SqFt'!$M$18:$M$160)),LOOKUP(2,1/('Project SqFt'!$P$18:$P$160=W158)/('Project SqFt'!$Q$18:$Q$160=X158),'Project SqFt'!$U$18:$U$160))="","",IFERROR(_xlfn.IFNA(LOOKUP(2,1/('Project SqFt'!$A$18:$A$160=W158)/('Project SqFt'!$B$18:$B$160=X158),'Project SqFt'!$F$18:$F$160),LOOKUP(2,1/('Project SqFt'!$H$18:$H$160=W158)/('Project SqFt'!$I$18:$I$160=X158),'Project SqFt'!$M$18:$M$160)),LOOKUP(2,1/('Project SqFt'!$P$18:$P$160=W158)/('Project SqFt'!$Q$18:$Q$160=X158),'Project SqFt'!$U$18:$U$160))),"")</f>
        <v/>
      </c>
      <c r="Z158" s="725"/>
      <c r="AA158" s="194" t="str" cm="1">
        <f t="array" ref="AA158">IFERROR(IF(IFERROR(_xlfn.IFNA(LOOKUP(2,1/('Project SqFt'!$A$18:$A$160=W158)/('Project SqFt'!$B$18:$B$160=X158),'Project SqFt'!$D$18:$D$160),LOOKUP(2,1/('Project SqFt'!$H$18:$H$160=W158)/('Project SqFt'!$I$18:$I$160=X158),'Project SqFt'!$L$18:$L$160)),LOOKUP(2,1/('Project SqFt'!$P$18:$P$160=W158)/('Project SqFt'!$Q$18:$Q$160=X158),'Project SqFt'!$T$18:$T$160))="","",IFERROR(_xlfn.IFNA(LOOKUP(2,1/('Project SqFt'!$A$18:$A$160=W158)/('Project SqFt'!$B$18:$B$160=X158),'Project SqFt'!$D$18:$D$160),LOOKUP(2,1/('Project SqFt'!$H$18:$H$160=W158)/('Project SqFt'!$I$18:$I$160=X158),'Project SqFt'!$L$18:$L$160)),LOOKUP(2,1/('Project SqFt'!$P$18:$P$160=W158)/('Project SqFt'!$Q$18:$Q$160=X158),'Project SqFt'!$T$18:$T$160))),"")</f>
        <v/>
      </c>
    </row>
    <row r="159" spans="1:27" x14ac:dyDescent="0.25">
      <c r="A159" s="73"/>
      <c r="B159" s="89"/>
      <c r="C159" s="561"/>
      <c r="D159" s="874"/>
      <c r="E159" s="875"/>
      <c r="F159" s="562"/>
      <c r="H159" s="50"/>
      <c r="I159" s="684"/>
      <c r="J159" s="684"/>
      <c r="K159" s="561"/>
      <c r="L159" s="89"/>
      <c r="M159" s="864"/>
      <c r="N159" s="865"/>
      <c r="P159" s="50"/>
      <c r="Q159" s="89"/>
      <c r="R159" s="860"/>
      <c r="S159" s="861"/>
      <c r="T159" s="89"/>
      <c r="U159" s="562"/>
      <c r="W159" s="29"/>
      <c r="X159" s="29"/>
      <c r="Y159" s="859" t="str" cm="1">
        <f t="array" ref="Y159">IFERROR(IF(IFERROR(_xlfn.IFNA(LOOKUP(2,1/('Project SqFt'!$A$18:$A$160=W159)/('Project SqFt'!$B$18:$B$160=X159),'Project SqFt'!$F$18:$F$160),LOOKUP(2,1/('Project SqFt'!$H$18:$H$160=W159)/('Project SqFt'!$I$18:$I$160=X159),'Project SqFt'!$M$18:$M$160)),LOOKUP(2,1/('Project SqFt'!$P$18:$P$160=W159)/('Project SqFt'!$Q$18:$Q$160=X159),'Project SqFt'!$U$18:$U$160))="","",IFERROR(_xlfn.IFNA(LOOKUP(2,1/('Project SqFt'!$A$18:$A$160=W159)/('Project SqFt'!$B$18:$B$160=X159),'Project SqFt'!$F$18:$F$160),LOOKUP(2,1/('Project SqFt'!$H$18:$H$160=W159)/('Project SqFt'!$I$18:$I$160=X159),'Project SqFt'!$M$18:$M$160)),LOOKUP(2,1/('Project SqFt'!$P$18:$P$160=W159)/('Project SqFt'!$Q$18:$Q$160=X159),'Project SqFt'!$U$18:$U$160))),"")</f>
        <v/>
      </c>
      <c r="Z159" s="725"/>
      <c r="AA159" s="194" t="str" cm="1">
        <f t="array" ref="AA159">IFERROR(IF(IFERROR(_xlfn.IFNA(LOOKUP(2,1/('Project SqFt'!$A$18:$A$160=W159)/('Project SqFt'!$B$18:$B$160=X159),'Project SqFt'!$D$18:$D$160),LOOKUP(2,1/('Project SqFt'!$H$18:$H$160=W159)/('Project SqFt'!$I$18:$I$160=X159),'Project SqFt'!$L$18:$L$160)),LOOKUP(2,1/('Project SqFt'!$P$18:$P$160=W159)/('Project SqFt'!$Q$18:$Q$160=X159),'Project SqFt'!$T$18:$T$160))="","",IFERROR(_xlfn.IFNA(LOOKUP(2,1/('Project SqFt'!$A$18:$A$160=W159)/('Project SqFt'!$B$18:$B$160=X159),'Project SqFt'!$D$18:$D$160),LOOKUP(2,1/('Project SqFt'!$H$18:$H$160=W159)/('Project SqFt'!$I$18:$I$160=X159),'Project SqFt'!$L$18:$L$160)),LOOKUP(2,1/('Project SqFt'!$P$18:$P$160=W159)/('Project SqFt'!$Q$18:$Q$160=X159),'Project SqFt'!$T$18:$T$160))),"")</f>
        <v/>
      </c>
    </row>
    <row r="160" spans="1:27" x14ac:dyDescent="0.25">
      <c r="A160" s="50"/>
      <c r="B160" s="89"/>
      <c r="C160" s="561"/>
      <c r="D160" s="874"/>
      <c r="E160" s="875"/>
      <c r="F160" s="562"/>
      <c r="H160" s="50"/>
      <c r="I160" s="684"/>
      <c r="J160" s="684"/>
      <c r="K160" s="561"/>
      <c r="L160" s="89"/>
      <c r="M160" s="864"/>
      <c r="N160" s="865"/>
      <c r="P160" s="50"/>
      <c r="Q160" s="89"/>
      <c r="R160" s="860"/>
      <c r="S160" s="861"/>
      <c r="T160" s="89"/>
      <c r="U160" s="562"/>
      <c r="W160" s="29"/>
      <c r="X160" s="29"/>
      <c r="Y160" s="859" t="str" cm="1">
        <f t="array" ref="Y160">IFERROR(IF(IFERROR(_xlfn.IFNA(LOOKUP(2,1/('Project SqFt'!$A$18:$A$160=W160)/('Project SqFt'!$B$18:$B$160=X160),'Project SqFt'!$F$18:$F$160),LOOKUP(2,1/('Project SqFt'!$H$18:$H$160=W160)/('Project SqFt'!$I$18:$I$160=X160),'Project SqFt'!$M$18:$M$160)),LOOKUP(2,1/('Project SqFt'!$P$18:$P$160=W160)/('Project SqFt'!$Q$18:$Q$160=X160),'Project SqFt'!$U$18:$U$160))="","",IFERROR(_xlfn.IFNA(LOOKUP(2,1/('Project SqFt'!$A$18:$A$160=W160)/('Project SqFt'!$B$18:$B$160=X160),'Project SqFt'!$F$18:$F$160),LOOKUP(2,1/('Project SqFt'!$H$18:$H$160=W160)/('Project SqFt'!$I$18:$I$160=X160),'Project SqFt'!$M$18:$M$160)),LOOKUP(2,1/('Project SqFt'!$P$18:$P$160=W160)/('Project SqFt'!$Q$18:$Q$160=X160),'Project SqFt'!$U$18:$U$160))),"")</f>
        <v/>
      </c>
      <c r="Z160" s="725"/>
      <c r="AA160" s="194" t="str" cm="1">
        <f t="array" ref="AA160">IFERROR(IF(IFERROR(_xlfn.IFNA(LOOKUP(2,1/('Project SqFt'!$A$18:$A$160=W160)/('Project SqFt'!$B$18:$B$160=X160),'Project SqFt'!$D$18:$D$160),LOOKUP(2,1/('Project SqFt'!$H$18:$H$160=W160)/('Project SqFt'!$I$18:$I$160=X160),'Project SqFt'!$L$18:$L$160)),LOOKUP(2,1/('Project SqFt'!$P$18:$P$160=W160)/('Project SqFt'!$Q$18:$Q$160=X160),'Project SqFt'!$T$18:$T$160))="","",IFERROR(_xlfn.IFNA(LOOKUP(2,1/('Project SqFt'!$A$18:$A$160=W160)/('Project SqFt'!$B$18:$B$160=X160),'Project SqFt'!$D$18:$D$160),LOOKUP(2,1/('Project SqFt'!$H$18:$H$160=W160)/('Project SqFt'!$I$18:$I$160=X160),'Project SqFt'!$L$18:$L$160)),LOOKUP(2,1/('Project SqFt'!$P$18:$P$160=W160)/('Project SqFt'!$Q$18:$Q$160=X160),'Project SqFt'!$T$18:$T$160))),"")</f>
        <v/>
      </c>
    </row>
    <row r="161" spans="1:21" ht="15.75" thickBot="1" x14ac:dyDescent="0.3">
      <c r="A161" s="283" t="s">
        <v>43</v>
      </c>
      <c r="B161" s="290">
        <f>COUNTA(B91:B160)</f>
        <v>0</v>
      </c>
      <c r="C161" s="284">
        <f>SUM(C91:C160)</f>
        <v>0</v>
      </c>
      <c r="D161" s="876" cm="1">
        <f t="array" ref="D161">SUM(IFERROR(VLOOKUP(D$18:D$87,'Project Summary'!$R$131:$S$135,2,FALSE),0))</f>
        <v>0</v>
      </c>
      <c r="E161" s="877"/>
      <c r="F161" s="291">
        <f>COUNTIFS(F91:F160,"&lt;&gt;Staff",F91:F160,"&lt;&gt;")</f>
        <v>0</v>
      </c>
      <c r="H161" s="283" t="s">
        <v>43</v>
      </c>
      <c r="I161" s="866">
        <f t="shared" ref="I161:J161" si="2">COUNTA(I91:I160)</f>
        <v>0</v>
      </c>
      <c r="J161" s="866">
        <f t="shared" si="2"/>
        <v>0</v>
      </c>
      <c r="K161" s="284">
        <f>SUM(K91:K160)</f>
        <v>0</v>
      </c>
      <c r="L161" s="292" cm="1">
        <f t="array" ref="L161">SUM(IFERROR(VLOOKUP(L$18:L$87,'Project Summary'!$R$131:$S$135,2,FALSE),0))</f>
        <v>0</v>
      </c>
      <c r="M161" s="867">
        <f>COUNTIFS(M91:M160,"&lt;&gt;Staff",M91:M160,"&lt;&gt;")</f>
        <v>0</v>
      </c>
      <c r="N161" s="868"/>
      <c r="P161" s="283" t="s">
        <v>43</v>
      </c>
      <c r="Q161" s="290">
        <f>COUNTA(Q91:Q160)</f>
        <v>0</v>
      </c>
      <c r="R161" s="862">
        <f>SUM(R91:R160)</f>
        <v>0</v>
      </c>
      <c r="S161" s="863"/>
      <c r="T161" s="292" cm="1">
        <f t="array" ref="T161">SUM(IFERROR(VLOOKUP(T$18:T$87,'Project Summary'!$R$131:$S$135,2,FALSE),0))</f>
        <v>0</v>
      </c>
      <c r="U161" s="291">
        <f>COUNTIFS(U91:U160,"&lt;&gt;Staff",U91:U160,"&lt;&gt;")</f>
        <v>0</v>
      </c>
    </row>
  </sheetData>
  <sheetProtection algorithmName="SHA-512" hashValue="8lkHonetdyCVVDJvltLXO9czL8LnZvuaMb+zKCr3TWIBsDn8+dyl7ulsCuDknxWsAiexPlw5FbxA4aPDLZmu0Q==" saltValue="Q+azVS9eLCe0BzyAqa0M5Q==" spinCount="100000" sheet="1" objects="1" scenarios="1"/>
  <mergeCells count="755">
    <mergeCell ref="Y160:Z160"/>
    <mergeCell ref="Y151:Z151"/>
    <mergeCell ref="Y152:Z152"/>
    <mergeCell ref="Y153:Z153"/>
    <mergeCell ref="Y154:Z154"/>
    <mergeCell ref="Y155:Z155"/>
    <mergeCell ref="Y156:Z156"/>
    <mergeCell ref="Y157:Z157"/>
    <mergeCell ref="Y158:Z158"/>
    <mergeCell ref="Y159:Z159"/>
    <mergeCell ref="Y142:Z142"/>
    <mergeCell ref="Y143:Z143"/>
    <mergeCell ref="Y144:Z144"/>
    <mergeCell ref="Y145:Z145"/>
    <mergeCell ref="Y146:Z146"/>
    <mergeCell ref="Y147:Z147"/>
    <mergeCell ref="Y148:Z148"/>
    <mergeCell ref="Y149:Z149"/>
    <mergeCell ref="Y150:Z150"/>
    <mergeCell ref="Y133:Z133"/>
    <mergeCell ref="Y134:Z134"/>
    <mergeCell ref="Y135:Z135"/>
    <mergeCell ref="Y136:Z136"/>
    <mergeCell ref="Y137:Z137"/>
    <mergeCell ref="Y138:Z138"/>
    <mergeCell ref="Y139:Z139"/>
    <mergeCell ref="Y140:Z140"/>
    <mergeCell ref="Y141:Z141"/>
    <mergeCell ref="Y124:Z124"/>
    <mergeCell ref="Y125:Z125"/>
    <mergeCell ref="Y126:Z126"/>
    <mergeCell ref="Y127:Z127"/>
    <mergeCell ref="Y128:Z128"/>
    <mergeCell ref="Y129:Z129"/>
    <mergeCell ref="Y130:Z130"/>
    <mergeCell ref="Y131:Z131"/>
    <mergeCell ref="Y132:Z132"/>
    <mergeCell ref="Y115:Z115"/>
    <mergeCell ref="Y116:Z116"/>
    <mergeCell ref="Y117:Z117"/>
    <mergeCell ref="Y118:Z118"/>
    <mergeCell ref="Y119:Z119"/>
    <mergeCell ref="Y120:Z120"/>
    <mergeCell ref="Y121:Z121"/>
    <mergeCell ref="Y122:Z122"/>
    <mergeCell ref="Y123:Z123"/>
    <mergeCell ref="Y106:Z106"/>
    <mergeCell ref="Y107:Z107"/>
    <mergeCell ref="Y108:Z108"/>
    <mergeCell ref="Y109:Z109"/>
    <mergeCell ref="Y110:Z110"/>
    <mergeCell ref="Y111:Z111"/>
    <mergeCell ref="Y112:Z112"/>
    <mergeCell ref="Y113:Z113"/>
    <mergeCell ref="Y114:Z114"/>
    <mergeCell ref="Y97:Z97"/>
    <mergeCell ref="Y98:Z98"/>
    <mergeCell ref="Y99:Z99"/>
    <mergeCell ref="Y100:Z100"/>
    <mergeCell ref="Y101:Z101"/>
    <mergeCell ref="Y102:Z102"/>
    <mergeCell ref="Y103:Z103"/>
    <mergeCell ref="Y104:Z104"/>
    <mergeCell ref="Y105:Z105"/>
    <mergeCell ref="Y88:Z88"/>
    <mergeCell ref="Y89:Z89"/>
    <mergeCell ref="Y90:Z90"/>
    <mergeCell ref="Y91:Z91"/>
    <mergeCell ref="Y92:Z92"/>
    <mergeCell ref="Y93:Z93"/>
    <mergeCell ref="Y94:Z94"/>
    <mergeCell ref="Y95:Z95"/>
    <mergeCell ref="Y96:Z96"/>
    <mergeCell ref="Y60:Z60"/>
    <mergeCell ref="W20:X20"/>
    <mergeCell ref="W37:AA37"/>
    <mergeCell ref="Y51:Z51"/>
    <mergeCell ref="Y52:Z52"/>
    <mergeCell ref="Y53:Z53"/>
    <mergeCell ref="Y54:Z54"/>
    <mergeCell ref="Y55:Z55"/>
    <mergeCell ref="Y56:Z56"/>
    <mergeCell ref="Y57:Z57"/>
    <mergeCell ref="Y58:Z58"/>
    <mergeCell ref="Y59:Z59"/>
    <mergeCell ref="W39:X39"/>
    <mergeCell ref="W38:X38"/>
    <mergeCell ref="Y40:Z40"/>
    <mergeCell ref="Y50:Z50"/>
    <mergeCell ref="Y49:Z49"/>
    <mergeCell ref="Y48:Z48"/>
    <mergeCell ref="Y47:Z47"/>
    <mergeCell ref="Y46:Z46"/>
    <mergeCell ref="Y45:Z45"/>
    <mergeCell ref="Y44:Z44"/>
    <mergeCell ref="Y43:Z43"/>
    <mergeCell ref="Y42:Z42"/>
    <mergeCell ref="Y41:Z41"/>
    <mergeCell ref="B2:Q2"/>
    <mergeCell ref="D35:E35"/>
    <mergeCell ref="D36:E36"/>
    <mergeCell ref="D37:E37"/>
    <mergeCell ref="D38:E38"/>
    <mergeCell ref="D39:E39"/>
    <mergeCell ref="D40:E40"/>
    <mergeCell ref="D18:E18"/>
    <mergeCell ref="D17:E17"/>
    <mergeCell ref="D21:E21"/>
    <mergeCell ref="D20:E20"/>
    <mergeCell ref="D19:E19"/>
    <mergeCell ref="D34:E34"/>
    <mergeCell ref="D27:E27"/>
    <mergeCell ref="D26:E26"/>
    <mergeCell ref="D25:E25"/>
    <mergeCell ref="D24:E24"/>
    <mergeCell ref="D23:E23"/>
    <mergeCell ref="D22:E22"/>
    <mergeCell ref="D33:E33"/>
    <mergeCell ref="D32:E32"/>
    <mergeCell ref="D31:E31"/>
    <mergeCell ref="D30:E30"/>
    <mergeCell ref="D29:E29"/>
    <mergeCell ref="D28:E28"/>
    <mergeCell ref="D47:E47"/>
    <mergeCell ref="D48:E48"/>
    <mergeCell ref="D49:E49"/>
    <mergeCell ref="D50:E50"/>
    <mergeCell ref="D51:E51"/>
    <mergeCell ref="D52:E52"/>
    <mergeCell ref="D41:E41"/>
    <mergeCell ref="D42:E42"/>
    <mergeCell ref="D43:E43"/>
    <mergeCell ref="D44:E44"/>
    <mergeCell ref="D45:E45"/>
    <mergeCell ref="D46:E46"/>
    <mergeCell ref="D59:E59"/>
    <mergeCell ref="D60:E60"/>
    <mergeCell ref="D61:E61"/>
    <mergeCell ref="D62:E62"/>
    <mergeCell ref="D63:E63"/>
    <mergeCell ref="D64:E64"/>
    <mergeCell ref="D53:E53"/>
    <mergeCell ref="D54:E54"/>
    <mergeCell ref="D55:E55"/>
    <mergeCell ref="D56:E56"/>
    <mergeCell ref="D57:E57"/>
    <mergeCell ref="D58:E58"/>
    <mergeCell ref="D87:E87"/>
    <mergeCell ref="D81:E81"/>
    <mergeCell ref="D82:E82"/>
    <mergeCell ref="D83:E83"/>
    <mergeCell ref="D84:E84"/>
    <mergeCell ref="D85:E85"/>
    <mergeCell ref="D86:E86"/>
    <mergeCell ref="D75:E75"/>
    <mergeCell ref="D76:E76"/>
    <mergeCell ref="D77:E77"/>
    <mergeCell ref="D78:E78"/>
    <mergeCell ref="D79:E79"/>
    <mergeCell ref="D80:E80"/>
    <mergeCell ref="M88:N88"/>
    <mergeCell ref="O5:P5"/>
    <mergeCell ref="O4:P4"/>
    <mergeCell ref="O6:P6"/>
    <mergeCell ref="O7:P7"/>
    <mergeCell ref="M76:N76"/>
    <mergeCell ref="M77:N77"/>
    <mergeCell ref="M78:N78"/>
    <mergeCell ref="M79:N79"/>
    <mergeCell ref="M80:N80"/>
    <mergeCell ref="M81:N81"/>
    <mergeCell ref="M82:N82"/>
    <mergeCell ref="M83:N83"/>
    <mergeCell ref="M84:N84"/>
    <mergeCell ref="M75:N75"/>
    <mergeCell ref="M36:N36"/>
    <mergeCell ref="M35:N35"/>
    <mergeCell ref="M34:N34"/>
    <mergeCell ref="M33:N33"/>
    <mergeCell ref="M32:N32"/>
    <mergeCell ref="M31:N31"/>
    <mergeCell ref="M19:N19"/>
    <mergeCell ref="M18:N18"/>
    <mergeCell ref="M17:N17"/>
    <mergeCell ref="I17:J17"/>
    <mergeCell ref="I18:J18"/>
    <mergeCell ref="I19:J19"/>
    <mergeCell ref="I20:J20"/>
    <mergeCell ref="I21:J21"/>
    <mergeCell ref="I22:J22"/>
    <mergeCell ref="M85:N85"/>
    <mergeCell ref="M86:N86"/>
    <mergeCell ref="M87:N87"/>
    <mergeCell ref="I23:J23"/>
    <mergeCell ref="I24:J24"/>
    <mergeCell ref="I25:J25"/>
    <mergeCell ref="I41:J41"/>
    <mergeCell ref="I42:J42"/>
    <mergeCell ref="I43:J43"/>
    <mergeCell ref="I44:J44"/>
    <mergeCell ref="I45:J45"/>
    <mergeCell ref="I46:J46"/>
    <mergeCell ref="I38:J38"/>
    <mergeCell ref="I39:J39"/>
    <mergeCell ref="I40:J40"/>
    <mergeCell ref="I47:J47"/>
    <mergeCell ref="I48:J48"/>
    <mergeCell ref="I49:J49"/>
    <mergeCell ref="G6:H6"/>
    <mergeCell ref="G7:H7"/>
    <mergeCell ref="G8:H8"/>
    <mergeCell ref="G9:H9"/>
    <mergeCell ref="G10:H10"/>
    <mergeCell ref="G11:H11"/>
    <mergeCell ref="G12:H12"/>
    <mergeCell ref="M30:N30"/>
    <mergeCell ref="M45:N45"/>
    <mergeCell ref="I35:J35"/>
    <mergeCell ref="I36:J36"/>
    <mergeCell ref="I37:J37"/>
    <mergeCell ref="G13:H13"/>
    <mergeCell ref="G14:H14"/>
    <mergeCell ref="G15:H15"/>
    <mergeCell ref="I26:J26"/>
    <mergeCell ref="I27:J27"/>
    <mergeCell ref="I28:J28"/>
    <mergeCell ref="I29:J29"/>
    <mergeCell ref="I30:J30"/>
    <mergeCell ref="I31:J31"/>
    <mergeCell ref="I32:J32"/>
    <mergeCell ref="I33:J33"/>
    <mergeCell ref="I34:J34"/>
    <mergeCell ref="I50:J50"/>
    <mergeCell ref="I51:J51"/>
    <mergeCell ref="I52:J52"/>
    <mergeCell ref="I53:J53"/>
    <mergeCell ref="I54:J54"/>
    <mergeCell ref="I55:J55"/>
    <mergeCell ref="I56:J56"/>
    <mergeCell ref="I57:J57"/>
    <mergeCell ref="I58:J58"/>
    <mergeCell ref="I59:J59"/>
    <mergeCell ref="I60:J60"/>
    <mergeCell ref="I61:J61"/>
    <mergeCell ref="I62:J62"/>
    <mergeCell ref="I63:J63"/>
    <mergeCell ref="I64:J64"/>
    <mergeCell ref="I75:J75"/>
    <mergeCell ref="I76:J76"/>
    <mergeCell ref="I77:J77"/>
    <mergeCell ref="I68:J68"/>
    <mergeCell ref="I78:J78"/>
    <mergeCell ref="I79:J79"/>
    <mergeCell ref="I80:J80"/>
    <mergeCell ref="I81:J81"/>
    <mergeCell ref="I82:J82"/>
    <mergeCell ref="I83:J83"/>
    <mergeCell ref="I84:J84"/>
    <mergeCell ref="I85:J85"/>
    <mergeCell ref="I86:J86"/>
    <mergeCell ref="I87:J87"/>
    <mergeCell ref="D88:E88"/>
    <mergeCell ref="I88:J88"/>
    <mergeCell ref="M22:N22"/>
    <mergeCell ref="M21:N21"/>
    <mergeCell ref="M20:N20"/>
    <mergeCell ref="M29:N29"/>
    <mergeCell ref="M37:N37"/>
    <mergeCell ref="M38:N38"/>
    <mergeCell ref="M39:N39"/>
    <mergeCell ref="M40:N40"/>
    <mergeCell ref="M41:N41"/>
    <mergeCell ref="M42:N42"/>
    <mergeCell ref="M43:N43"/>
    <mergeCell ref="M44:N44"/>
    <mergeCell ref="M59:N59"/>
    <mergeCell ref="M60:N60"/>
    <mergeCell ref="M61:N61"/>
    <mergeCell ref="M62:N62"/>
    <mergeCell ref="M63:N63"/>
    <mergeCell ref="M64:N64"/>
    <mergeCell ref="M23:N23"/>
    <mergeCell ref="M24:N24"/>
    <mergeCell ref="M25:N25"/>
    <mergeCell ref="M26:N26"/>
    <mergeCell ref="M27:N27"/>
    <mergeCell ref="M28:N28"/>
    <mergeCell ref="R45:S45"/>
    <mergeCell ref="R46:S46"/>
    <mergeCell ref="R47:S47"/>
    <mergeCell ref="R48:S48"/>
    <mergeCell ref="R49:S49"/>
    <mergeCell ref="R50:S50"/>
    <mergeCell ref="M46:N46"/>
    <mergeCell ref="R36:S36"/>
    <mergeCell ref="R37:S37"/>
    <mergeCell ref="R38:S38"/>
    <mergeCell ref="R39:S39"/>
    <mergeCell ref="R40:S40"/>
    <mergeCell ref="R41:S41"/>
    <mergeCell ref="R42:S42"/>
    <mergeCell ref="R43:S43"/>
    <mergeCell ref="R44:S44"/>
    <mergeCell ref="M56:N56"/>
    <mergeCell ref="M57:N57"/>
    <mergeCell ref="M58:N58"/>
    <mergeCell ref="M47:N47"/>
    <mergeCell ref="M48:N48"/>
    <mergeCell ref="M49:N49"/>
    <mergeCell ref="M50:N50"/>
    <mergeCell ref="M51:N51"/>
    <mergeCell ref="M52:N52"/>
    <mergeCell ref="M53:N53"/>
    <mergeCell ref="M54:N54"/>
    <mergeCell ref="M55:N55"/>
    <mergeCell ref="R17:S17"/>
    <mergeCell ref="R28:S28"/>
    <mergeCell ref="R29:S29"/>
    <mergeCell ref="R30:S30"/>
    <mergeCell ref="R31:S31"/>
    <mergeCell ref="R32:S32"/>
    <mergeCell ref="R33:S33"/>
    <mergeCell ref="R34:S34"/>
    <mergeCell ref="R35:S35"/>
    <mergeCell ref="R26:S26"/>
    <mergeCell ref="R25:S25"/>
    <mergeCell ref="R24:S24"/>
    <mergeCell ref="R23:S23"/>
    <mergeCell ref="R22:S22"/>
    <mergeCell ref="R21:S21"/>
    <mergeCell ref="R20:S20"/>
    <mergeCell ref="R19:S19"/>
    <mergeCell ref="R18:S18"/>
    <mergeCell ref="R27:S27"/>
    <mergeCell ref="R76:S76"/>
    <mergeCell ref="R77:S77"/>
    <mergeCell ref="R78:S78"/>
    <mergeCell ref="R51:S51"/>
    <mergeCell ref="R52:S52"/>
    <mergeCell ref="R53:S53"/>
    <mergeCell ref="R54:S54"/>
    <mergeCell ref="R55:S55"/>
    <mergeCell ref="R56:S56"/>
    <mergeCell ref="R57:S57"/>
    <mergeCell ref="R58:S58"/>
    <mergeCell ref="R59:S59"/>
    <mergeCell ref="R88:S88"/>
    <mergeCell ref="Q4:U4"/>
    <mergeCell ref="Q5:U5"/>
    <mergeCell ref="Q6:U6"/>
    <mergeCell ref="Q7:U7"/>
    <mergeCell ref="Q8:U8"/>
    <mergeCell ref="Q9:U9"/>
    <mergeCell ref="Q10:U10"/>
    <mergeCell ref="Q11:U11"/>
    <mergeCell ref="R79:S79"/>
    <mergeCell ref="R80:S80"/>
    <mergeCell ref="R81:S81"/>
    <mergeCell ref="R82:S82"/>
    <mergeCell ref="R83:S83"/>
    <mergeCell ref="R84:S84"/>
    <mergeCell ref="R85:S85"/>
    <mergeCell ref="R86:S86"/>
    <mergeCell ref="R87:S87"/>
    <mergeCell ref="R60:S60"/>
    <mergeCell ref="R61:S61"/>
    <mergeCell ref="R62:S62"/>
    <mergeCell ref="R63:S63"/>
    <mergeCell ref="R64:S64"/>
    <mergeCell ref="R75:S75"/>
    <mergeCell ref="W9:X9"/>
    <mergeCell ref="W8:X8"/>
    <mergeCell ref="A1:U1"/>
    <mergeCell ref="Q12:U12"/>
    <mergeCell ref="Q13:U13"/>
    <mergeCell ref="Q14:U14"/>
    <mergeCell ref="Q15:U15"/>
    <mergeCell ref="W14:X14"/>
    <mergeCell ref="W13:X13"/>
    <mergeCell ref="W12:X12"/>
    <mergeCell ref="W11:X11"/>
    <mergeCell ref="W10:X10"/>
    <mergeCell ref="O8:P8"/>
    <mergeCell ref="O9:P9"/>
    <mergeCell ref="O10:P10"/>
    <mergeCell ref="O11:P11"/>
    <mergeCell ref="O12:P12"/>
    <mergeCell ref="O13:P13"/>
    <mergeCell ref="O14:P14"/>
    <mergeCell ref="O15:P15"/>
    <mergeCell ref="T2:U2"/>
    <mergeCell ref="R2:S2"/>
    <mergeCell ref="G5:H5"/>
    <mergeCell ref="G4:H4"/>
    <mergeCell ref="D65:E65"/>
    <mergeCell ref="I65:J65"/>
    <mergeCell ref="M65:N65"/>
    <mergeCell ref="R65:S65"/>
    <mergeCell ref="D66:E66"/>
    <mergeCell ref="I66:J66"/>
    <mergeCell ref="M66:N66"/>
    <mergeCell ref="R66:S66"/>
    <mergeCell ref="D67:E67"/>
    <mergeCell ref="I67:J67"/>
    <mergeCell ref="M67:N67"/>
    <mergeCell ref="R67:S67"/>
    <mergeCell ref="M68:N68"/>
    <mergeCell ref="R68:S68"/>
    <mergeCell ref="D69:E69"/>
    <mergeCell ref="I69:J69"/>
    <mergeCell ref="M69:N69"/>
    <mergeCell ref="R69:S69"/>
    <mergeCell ref="D70:E70"/>
    <mergeCell ref="I70:J70"/>
    <mergeCell ref="M70:N70"/>
    <mergeCell ref="R70:S70"/>
    <mergeCell ref="W21:X21"/>
    <mergeCell ref="W17:Z17"/>
    <mergeCell ref="W22:X22"/>
    <mergeCell ref="W19:X19"/>
    <mergeCell ref="W23:X23"/>
    <mergeCell ref="W24:X24"/>
    <mergeCell ref="W25:X25"/>
    <mergeCell ref="D74:E74"/>
    <mergeCell ref="I74:J74"/>
    <mergeCell ref="M74:N74"/>
    <mergeCell ref="R74:S74"/>
    <mergeCell ref="D71:E71"/>
    <mergeCell ref="I71:J71"/>
    <mergeCell ref="M71:N71"/>
    <mergeCell ref="R71:S71"/>
    <mergeCell ref="D72:E72"/>
    <mergeCell ref="I72:J72"/>
    <mergeCell ref="M72:N72"/>
    <mergeCell ref="R72:S72"/>
    <mergeCell ref="D73:E73"/>
    <mergeCell ref="I73:J73"/>
    <mergeCell ref="M73:N73"/>
    <mergeCell ref="R73:S73"/>
    <mergeCell ref="D68:E68"/>
    <mergeCell ref="D90:E90"/>
    <mergeCell ref="D91:E91"/>
    <mergeCell ref="D92:E92"/>
    <mergeCell ref="D93:E93"/>
    <mergeCell ref="D94:E94"/>
    <mergeCell ref="D95:E95"/>
    <mergeCell ref="D96:E96"/>
    <mergeCell ref="D97:E97"/>
    <mergeCell ref="D98:E98"/>
    <mergeCell ref="D99:E99"/>
    <mergeCell ref="D100:E100"/>
    <mergeCell ref="D101:E101"/>
    <mergeCell ref="D102:E10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15:E115"/>
    <mergeCell ref="D116:E116"/>
    <mergeCell ref="D117:E117"/>
    <mergeCell ref="D118:E118"/>
    <mergeCell ref="D119:E119"/>
    <mergeCell ref="D120:E120"/>
    <mergeCell ref="D121:E121"/>
    <mergeCell ref="D122:E122"/>
    <mergeCell ref="D123:E123"/>
    <mergeCell ref="D124:E124"/>
    <mergeCell ref="D125:E125"/>
    <mergeCell ref="D126:E126"/>
    <mergeCell ref="D127:E127"/>
    <mergeCell ref="D128:E128"/>
    <mergeCell ref="D129:E129"/>
    <mergeCell ref="D130:E130"/>
    <mergeCell ref="D131:E131"/>
    <mergeCell ref="D132:E132"/>
    <mergeCell ref="D133:E13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46:E146"/>
    <mergeCell ref="D147:E147"/>
    <mergeCell ref="D148:E148"/>
    <mergeCell ref="D149:E149"/>
    <mergeCell ref="D150:E150"/>
    <mergeCell ref="D151:E151"/>
    <mergeCell ref="D152:E152"/>
    <mergeCell ref="D153:E153"/>
    <mergeCell ref="D154:E154"/>
    <mergeCell ref="D155:E155"/>
    <mergeCell ref="D156:E156"/>
    <mergeCell ref="D157:E157"/>
    <mergeCell ref="D158:E158"/>
    <mergeCell ref="D159:E159"/>
    <mergeCell ref="D160:E160"/>
    <mergeCell ref="D161:E161"/>
    <mergeCell ref="I90:J90"/>
    <mergeCell ref="M90:N90"/>
    <mergeCell ref="I91:J91"/>
    <mergeCell ref="M91:N91"/>
    <mergeCell ref="I92:J92"/>
    <mergeCell ref="M92:N92"/>
    <mergeCell ref="I93:J93"/>
    <mergeCell ref="M93:N93"/>
    <mergeCell ref="I94:J94"/>
    <mergeCell ref="M94:N94"/>
    <mergeCell ref="I95:J95"/>
    <mergeCell ref="M95:N95"/>
    <mergeCell ref="I96:J96"/>
    <mergeCell ref="M96:N96"/>
    <mergeCell ref="I97:J97"/>
    <mergeCell ref="M97:N97"/>
    <mergeCell ref="I98:J98"/>
    <mergeCell ref="M98:N98"/>
    <mergeCell ref="I99:J99"/>
    <mergeCell ref="M99:N99"/>
    <mergeCell ref="I100:J100"/>
    <mergeCell ref="M100:N100"/>
    <mergeCell ref="I101:J101"/>
    <mergeCell ref="M101:N101"/>
    <mergeCell ref="I102:J102"/>
    <mergeCell ref="M102:N102"/>
    <mergeCell ref="I103:J103"/>
    <mergeCell ref="M103:N103"/>
    <mergeCell ref="I104:J104"/>
    <mergeCell ref="M104:N104"/>
    <mergeCell ref="I105:J105"/>
    <mergeCell ref="M105:N105"/>
    <mergeCell ref="I106:J106"/>
    <mergeCell ref="M106:N106"/>
    <mergeCell ref="I107:J107"/>
    <mergeCell ref="M107:N107"/>
    <mergeCell ref="I108:J108"/>
    <mergeCell ref="M108:N108"/>
    <mergeCell ref="I109:J109"/>
    <mergeCell ref="M109:N109"/>
    <mergeCell ref="I110:J110"/>
    <mergeCell ref="M110:N110"/>
    <mergeCell ref="I111:J111"/>
    <mergeCell ref="M111:N111"/>
    <mergeCell ref="I112:J112"/>
    <mergeCell ref="M112:N112"/>
    <mergeCell ref="I113:J113"/>
    <mergeCell ref="M113:N113"/>
    <mergeCell ref="I114:J114"/>
    <mergeCell ref="M114:N114"/>
    <mergeCell ref="I115:J115"/>
    <mergeCell ref="M115:N115"/>
    <mergeCell ref="I116:J116"/>
    <mergeCell ref="M116:N116"/>
    <mergeCell ref="I117:J117"/>
    <mergeCell ref="M117:N117"/>
    <mergeCell ref="I118:J118"/>
    <mergeCell ref="M118:N118"/>
    <mergeCell ref="I119:J119"/>
    <mergeCell ref="M119:N119"/>
    <mergeCell ref="I120:J120"/>
    <mergeCell ref="M120:N120"/>
    <mergeCell ref="I121:J121"/>
    <mergeCell ref="M121:N121"/>
    <mergeCell ref="I122:J122"/>
    <mergeCell ref="M122:N122"/>
    <mergeCell ref="I123:J123"/>
    <mergeCell ref="M123:N123"/>
    <mergeCell ref="I124:J124"/>
    <mergeCell ref="M124:N124"/>
    <mergeCell ref="I125:J125"/>
    <mergeCell ref="M125:N125"/>
    <mergeCell ref="I126:J126"/>
    <mergeCell ref="M126:N126"/>
    <mergeCell ref="I127:J127"/>
    <mergeCell ref="M127:N127"/>
    <mergeCell ref="I128:J128"/>
    <mergeCell ref="M128:N128"/>
    <mergeCell ref="I129:J129"/>
    <mergeCell ref="M129:N129"/>
    <mergeCell ref="I130:J130"/>
    <mergeCell ref="M130:N130"/>
    <mergeCell ref="I131:J131"/>
    <mergeCell ref="M131:N131"/>
    <mergeCell ref="I132:J132"/>
    <mergeCell ref="M132:N132"/>
    <mergeCell ref="I133:J133"/>
    <mergeCell ref="M133:N133"/>
    <mergeCell ref="I134:J134"/>
    <mergeCell ref="M134:N134"/>
    <mergeCell ref="I135:J135"/>
    <mergeCell ref="M135:N135"/>
    <mergeCell ref="I136:J136"/>
    <mergeCell ref="M136:N136"/>
    <mergeCell ref="I137:J137"/>
    <mergeCell ref="M137:N137"/>
    <mergeCell ref="I138:J138"/>
    <mergeCell ref="M138:N138"/>
    <mergeCell ref="I139:J139"/>
    <mergeCell ref="M139:N139"/>
    <mergeCell ref="I140:J140"/>
    <mergeCell ref="M140:N140"/>
    <mergeCell ref="I141:J141"/>
    <mergeCell ref="M141:N141"/>
    <mergeCell ref="I142:J142"/>
    <mergeCell ref="M142:N142"/>
    <mergeCell ref="I143:J143"/>
    <mergeCell ref="M143:N143"/>
    <mergeCell ref="I144:J144"/>
    <mergeCell ref="M144:N144"/>
    <mergeCell ref="I145:J145"/>
    <mergeCell ref="M145:N145"/>
    <mergeCell ref="I146:J146"/>
    <mergeCell ref="M146:N146"/>
    <mergeCell ref="I147:J147"/>
    <mergeCell ref="M147:N147"/>
    <mergeCell ref="I148:J148"/>
    <mergeCell ref="M148:N148"/>
    <mergeCell ref="I149:J149"/>
    <mergeCell ref="M149:N149"/>
    <mergeCell ref="I150:J150"/>
    <mergeCell ref="M150:N150"/>
    <mergeCell ref="I151:J151"/>
    <mergeCell ref="M151:N151"/>
    <mergeCell ref="I152:J152"/>
    <mergeCell ref="M152:N152"/>
    <mergeCell ref="I153:J153"/>
    <mergeCell ref="M153:N153"/>
    <mergeCell ref="I154:J154"/>
    <mergeCell ref="M154:N154"/>
    <mergeCell ref="I155:J155"/>
    <mergeCell ref="M155:N155"/>
    <mergeCell ref="I156:J156"/>
    <mergeCell ref="M156:N156"/>
    <mergeCell ref="I157:J157"/>
    <mergeCell ref="M157:N157"/>
    <mergeCell ref="I158:J158"/>
    <mergeCell ref="M158:N158"/>
    <mergeCell ref="I159:J159"/>
    <mergeCell ref="M159:N159"/>
    <mergeCell ref="I160:J160"/>
    <mergeCell ref="M160:N160"/>
    <mergeCell ref="I161:J161"/>
    <mergeCell ref="M161:N161"/>
    <mergeCell ref="R90:S90"/>
    <mergeCell ref="R91:S91"/>
    <mergeCell ref="R92:S92"/>
    <mergeCell ref="R93:S93"/>
    <mergeCell ref="R94:S94"/>
    <mergeCell ref="R95:S95"/>
    <mergeCell ref="R96:S96"/>
    <mergeCell ref="R97:S97"/>
    <mergeCell ref="R98:S98"/>
    <mergeCell ref="R99:S99"/>
    <mergeCell ref="R100:S100"/>
    <mergeCell ref="R101:S101"/>
    <mergeCell ref="R102:S102"/>
    <mergeCell ref="R103:S103"/>
    <mergeCell ref="R104:S104"/>
    <mergeCell ref="R105:S105"/>
    <mergeCell ref="R106:S106"/>
    <mergeCell ref="R107:S107"/>
    <mergeCell ref="R108:S108"/>
    <mergeCell ref="R109:S109"/>
    <mergeCell ref="R110:S110"/>
    <mergeCell ref="R111:S111"/>
    <mergeCell ref="R112:S112"/>
    <mergeCell ref="R113:S113"/>
    <mergeCell ref="R114:S114"/>
    <mergeCell ref="R115:S115"/>
    <mergeCell ref="R116:S116"/>
    <mergeCell ref="R117:S117"/>
    <mergeCell ref="R118:S118"/>
    <mergeCell ref="R119:S119"/>
    <mergeCell ref="R120:S120"/>
    <mergeCell ref="R121:S121"/>
    <mergeCell ref="R122:S122"/>
    <mergeCell ref="R123:S123"/>
    <mergeCell ref="R124:S124"/>
    <mergeCell ref="R125:S125"/>
    <mergeCell ref="R126:S126"/>
    <mergeCell ref="R127:S127"/>
    <mergeCell ref="R128:S128"/>
    <mergeCell ref="R129:S129"/>
    <mergeCell ref="R130:S130"/>
    <mergeCell ref="R131:S131"/>
    <mergeCell ref="R132:S132"/>
    <mergeCell ref="R133:S133"/>
    <mergeCell ref="R134:S134"/>
    <mergeCell ref="R135:S135"/>
    <mergeCell ref="R136:S136"/>
    <mergeCell ref="R137:S137"/>
    <mergeCell ref="R138:S138"/>
    <mergeCell ref="R139:S139"/>
    <mergeCell ref="R140:S140"/>
    <mergeCell ref="R141:S141"/>
    <mergeCell ref="R142:S142"/>
    <mergeCell ref="R143:S143"/>
    <mergeCell ref="R144:S144"/>
    <mergeCell ref="R145:S145"/>
    <mergeCell ref="R155:S155"/>
    <mergeCell ref="R156:S156"/>
    <mergeCell ref="R157:S157"/>
    <mergeCell ref="R158:S158"/>
    <mergeCell ref="R159:S159"/>
    <mergeCell ref="R160:S160"/>
    <mergeCell ref="R161:S161"/>
    <mergeCell ref="R146:S146"/>
    <mergeCell ref="R147:S147"/>
    <mergeCell ref="R148:S148"/>
    <mergeCell ref="R149:S149"/>
    <mergeCell ref="R150:S150"/>
    <mergeCell ref="R151:S151"/>
    <mergeCell ref="R152:S152"/>
    <mergeCell ref="R153:S153"/>
    <mergeCell ref="R154:S154"/>
    <mergeCell ref="Y61:Z61"/>
    <mergeCell ref="Y62:Z62"/>
    <mergeCell ref="Y63:Z63"/>
    <mergeCell ref="Y64:Z64"/>
    <mergeCell ref="Y65:Z65"/>
    <mergeCell ref="Y66:Z66"/>
    <mergeCell ref="Y67:Z67"/>
    <mergeCell ref="Y68:Z68"/>
    <mergeCell ref="Y69:Z69"/>
    <mergeCell ref="Y70:Z70"/>
    <mergeCell ref="Y71:Z71"/>
    <mergeCell ref="Y72:Z72"/>
    <mergeCell ref="Y73:Z73"/>
    <mergeCell ref="Y74:Z74"/>
    <mergeCell ref="Y75:Z75"/>
    <mergeCell ref="Y76:Z76"/>
    <mergeCell ref="Y77:Z77"/>
    <mergeCell ref="Y78:Z78"/>
    <mergeCell ref="Y79:Z79"/>
    <mergeCell ref="Y80:Z80"/>
    <mergeCell ref="Y81:Z81"/>
    <mergeCell ref="Y82:Z82"/>
    <mergeCell ref="Y83:Z83"/>
    <mergeCell ref="Y84:Z84"/>
    <mergeCell ref="Y85:Z85"/>
    <mergeCell ref="Y86:Z86"/>
    <mergeCell ref="Y87:Z87"/>
  </mergeCells>
  <conditionalFormatting sqref="Y41:Z160">
    <cfRule type="containsText" dxfId="31" priority="3" operator="containsText" text="Staff">
      <formula>NOT(ISERROR(SEARCH("Staff",Y41)))</formula>
    </cfRule>
  </conditionalFormatting>
  <conditionalFormatting sqref="Y41:AA160">
    <cfRule type="containsText" dxfId="30" priority="1" operator="containsText" text="Other Restricted">
      <formula>NOT(ISERROR(SEARCH("Other Restricted",Y41)))</formula>
    </cfRule>
    <cfRule type="containsText" dxfId="29" priority="2" operator="containsText" text="Unrestricted">
      <formula>NOT(ISERROR(SEARCH("Unrestricted",Y41)))</formula>
    </cfRule>
  </conditionalFormatting>
  <printOptions horizontalCentered="1"/>
  <pageMargins left="0.25" right="0.25" top="1" bottom="0.25" header="0" footer="0"/>
  <pageSetup scale="53" orientation="portrait" horizontalDpi="1200"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27A8A4B-62B2-4BFA-91F8-38E20CBA9D27}">
          <x14:formula1>
            <xm:f>'Project Summary'!$R$131:$R$135</xm:f>
          </x14:formula1>
          <xm:sqref>T18:T87 L18:L87 D18:D87 E19:E87 D91:D160 E92:E160 L91:L160 T91:T160</xm:sqref>
        </x14:dataValidation>
        <x14:dataValidation type="list" allowBlank="1" showInputMessage="1" showErrorMessage="1" xr:uid="{BE870831-2E91-442F-8BAC-8A5D350372B8}">
          <x14:formula1>
            <xm:f>INDIRECT('Project Summary'!$AH$130)</xm:f>
          </x14:formula1>
          <xm:sqref>F18:F87 M18:N87 U18:U87 F91:F160 M91:N160 U91:U160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DE5A9-C7E7-4C92-920A-5854AAFF62F4}">
  <dimension ref="A1:X150"/>
  <sheetViews>
    <sheetView zoomScale="85" zoomScaleNormal="85" zoomScaleSheetLayoutView="85" workbookViewId="0">
      <pane ySplit="6" topLeftCell="A7" activePane="bottomLeft" state="frozen"/>
      <selection activeCell="F3" sqref="F3"/>
      <selection pane="bottomLeft" activeCell="E8" sqref="E8"/>
    </sheetView>
  </sheetViews>
  <sheetFormatPr defaultRowHeight="15" x14ac:dyDescent="0.25"/>
  <cols>
    <col min="1" max="1" width="14.42578125" bestFit="1" customWidth="1"/>
    <col min="2" max="2" width="22" customWidth="1"/>
    <col min="3" max="3" width="11.140625" customWidth="1"/>
    <col min="4" max="4" width="3.28515625" customWidth="1"/>
    <col min="5" max="5" width="19.42578125" customWidth="1"/>
    <col min="6" max="6" width="15" style="6" customWidth="1"/>
    <col min="7" max="8" width="19.140625" customWidth="1"/>
    <col min="9" max="9" width="2.7109375" customWidth="1"/>
    <col min="10" max="10" width="19.42578125" customWidth="1"/>
    <col min="11" max="11" width="2.7109375" customWidth="1"/>
    <col min="12" max="12" width="19.42578125" customWidth="1"/>
    <col min="13" max="13" width="9.7109375" bestFit="1" customWidth="1"/>
    <col min="14" max="14" width="22.5703125" customWidth="1"/>
    <col min="15" max="16" width="19.42578125" customWidth="1"/>
    <col min="17" max="17" width="22.5703125" customWidth="1"/>
  </cols>
  <sheetData>
    <row r="1" spans="1:24" ht="18.75" x14ac:dyDescent="0.3">
      <c r="A1" s="733" t="s">
        <v>1080</v>
      </c>
      <c r="B1" s="733"/>
      <c r="C1" s="733"/>
      <c r="D1" s="733"/>
      <c r="E1" s="733"/>
      <c r="F1" s="733"/>
      <c r="G1" s="733"/>
      <c r="H1" s="733"/>
      <c r="I1" s="733"/>
      <c r="J1" s="733"/>
      <c r="K1" s="733"/>
      <c r="L1" s="733"/>
    </row>
    <row r="2" spans="1:24" ht="15.75" customHeight="1" x14ac:dyDescent="0.25">
      <c r="A2" s="253" t="s">
        <v>13</v>
      </c>
      <c r="B2" s="889" t="str">
        <f>IF('Project Summary'!$C$8&lt;1," ",'Project Summary'!$C$8)</f>
        <v xml:space="preserve"> </v>
      </c>
      <c r="C2" s="889"/>
      <c r="D2" s="889"/>
      <c r="E2" s="889"/>
      <c r="F2" s="889"/>
      <c r="G2" s="889"/>
      <c r="H2" s="889"/>
      <c r="I2" s="890"/>
      <c r="J2" s="101" t="s">
        <v>11</v>
      </c>
      <c r="K2" s="911" t="str">
        <f>IF('Project Summary'!$C$5&lt;1," ",'Project Summary'!$C$5)</f>
        <v xml:space="preserve"> </v>
      </c>
      <c r="L2" s="912"/>
    </row>
    <row r="3" spans="1:24" x14ac:dyDescent="0.25">
      <c r="A3" s="913" t="s">
        <v>704</v>
      </c>
      <c r="B3" s="914"/>
      <c r="C3" s="914"/>
      <c r="D3" s="914"/>
      <c r="E3" s="914"/>
      <c r="F3" s="914"/>
      <c r="G3" s="914"/>
      <c r="H3" s="914"/>
      <c r="I3" s="914"/>
      <c r="J3" s="914"/>
      <c r="K3" s="914"/>
      <c r="L3" s="915"/>
    </row>
    <row r="4" spans="1:24" s="143" customFormat="1" ht="9.9499999999999993" customHeight="1" x14ac:dyDescent="0.2">
      <c r="A4" s="254"/>
      <c r="B4" s="254"/>
      <c r="C4" s="254"/>
      <c r="D4" s="254"/>
      <c r="E4" s="254"/>
      <c r="F4" s="254"/>
      <c r="G4" s="254"/>
    </row>
    <row r="5" spans="1:24" s="143" customFormat="1" ht="15.75" x14ac:dyDescent="0.25">
      <c r="D5" s="919" t="s">
        <v>1026</v>
      </c>
      <c r="E5" s="916" t="s">
        <v>537</v>
      </c>
      <c r="F5" s="917"/>
      <c r="G5" s="917"/>
      <c r="H5" s="646"/>
      <c r="J5" s="255" t="s">
        <v>297</v>
      </c>
      <c r="L5" s="255" t="s">
        <v>298</v>
      </c>
      <c r="W5" s="218"/>
      <c r="X5" s="255"/>
    </row>
    <row r="6" spans="1:24" s="143" customFormat="1" ht="15.75" customHeight="1" x14ac:dyDescent="0.25">
      <c r="D6" s="920"/>
      <c r="E6" s="39" t="s">
        <v>300</v>
      </c>
      <c r="F6" s="199" t="s">
        <v>301</v>
      </c>
      <c r="G6" s="199" t="s">
        <v>302</v>
      </c>
      <c r="H6" s="199" t="s">
        <v>303</v>
      </c>
      <c r="I6"/>
      <c r="J6" s="39" t="s">
        <v>300</v>
      </c>
      <c r="K6"/>
      <c r="L6" s="39" t="s">
        <v>300</v>
      </c>
      <c r="W6" s="218"/>
      <c r="X6" s="255"/>
    </row>
    <row r="7" spans="1:24" ht="15.75" customHeight="1" x14ac:dyDescent="0.25">
      <c r="A7" s="903" t="s">
        <v>299</v>
      </c>
      <c r="B7" s="903"/>
      <c r="C7" s="903"/>
      <c r="D7" s="205"/>
      <c r="E7" s="54">
        <f>IFERROR(SUM('Project SqFt'!$Y$9:$Y$13)/'Project SqFt'!$Y$14,0)</f>
        <v>0</v>
      </c>
      <c r="F7" s="199"/>
      <c r="G7" s="199"/>
      <c r="H7" s="199"/>
      <c r="J7" s="54">
        <f>IFERROR('Project SqFt'!$Y$8/'Project SqFt'!$Y$14,0)</f>
        <v>0</v>
      </c>
      <c r="L7" s="39"/>
      <c r="N7" s="893" t="s">
        <v>1091</v>
      </c>
      <c r="O7" s="893"/>
      <c r="T7" s="40"/>
      <c r="V7" s="40"/>
    </row>
    <row r="8" spans="1:24" ht="15" customHeight="1" x14ac:dyDescent="0.25">
      <c r="A8" s="901" t="s">
        <v>304</v>
      </c>
      <c r="B8" s="898"/>
      <c r="C8" s="899"/>
      <c r="D8" s="639"/>
      <c r="E8" s="3">
        <v>0</v>
      </c>
      <c r="F8" s="7">
        <v>0</v>
      </c>
      <c r="G8" s="605"/>
      <c r="H8" s="605"/>
      <c r="J8" s="3">
        <v>0</v>
      </c>
      <c r="L8" s="14">
        <f>$E8+$J8</f>
        <v>0</v>
      </c>
      <c r="N8" s="606" t="s">
        <v>1088</v>
      </c>
      <c r="O8" s="604" t="str">
        <f>IFERROR($L$8/$L$121,"")</f>
        <v/>
      </c>
      <c r="T8" s="18"/>
      <c r="V8" s="18"/>
    </row>
    <row r="9" spans="1:24" ht="15" customHeight="1" x14ac:dyDescent="0.25">
      <c r="A9" s="901" t="s">
        <v>305</v>
      </c>
      <c r="B9" s="898"/>
      <c r="C9" s="899"/>
      <c r="D9" s="639"/>
      <c r="E9" s="413">
        <v>0</v>
      </c>
      <c r="F9" s="7">
        <f>IFERROR($G$9/$E$9,1)</f>
        <v>1</v>
      </c>
      <c r="G9" s="414">
        <v>0</v>
      </c>
      <c r="H9" s="605"/>
      <c r="J9" s="413">
        <v>0</v>
      </c>
      <c r="L9" s="41">
        <f t="shared" ref="L9:L10" si="0">$E9+$J9</f>
        <v>0</v>
      </c>
      <c r="N9" s="606" t="s">
        <v>1089</v>
      </c>
      <c r="O9" s="604" t="str">
        <f>IFERROR($L$9/$L$121,"")</f>
        <v/>
      </c>
      <c r="T9" s="42"/>
      <c r="V9" s="18"/>
    </row>
    <row r="10" spans="1:24" ht="15" customHeight="1" x14ac:dyDescent="0.25">
      <c r="A10" s="901" t="s">
        <v>306</v>
      </c>
      <c r="B10" s="898"/>
      <c r="C10" s="899"/>
      <c r="D10" s="639"/>
      <c r="E10" s="3">
        <v>0</v>
      </c>
      <c r="F10" s="7">
        <f>IFERROR(($G10+$H10)/$E10,1)</f>
        <v>1</v>
      </c>
      <c r="G10" s="414">
        <v>0</v>
      </c>
      <c r="H10" s="414">
        <v>0</v>
      </c>
      <c r="J10" s="413">
        <v>0</v>
      </c>
      <c r="L10" s="41">
        <f t="shared" si="0"/>
        <v>0</v>
      </c>
      <c r="N10" s="606" t="s">
        <v>1090</v>
      </c>
      <c r="O10" s="604" t="str">
        <f>IFERROR($L$10/$L$121,"")</f>
        <v/>
      </c>
      <c r="T10" s="42"/>
      <c r="V10" s="18"/>
    </row>
    <row r="11" spans="1:24" ht="15" customHeight="1" x14ac:dyDescent="0.25">
      <c r="A11" s="908" t="s">
        <v>307</v>
      </c>
      <c r="B11" s="909"/>
      <c r="C11" s="909"/>
      <c r="D11" s="910"/>
      <c r="E11" s="31">
        <f>SUM($E$8:$E$10)</f>
        <v>0</v>
      </c>
      <c r="F11" s="19"/>
      <c r="G11" s="31">
        <f>SUM($G$8:$G$10)</f>
        <v>0</v>
      </c>
      <c r="H11" s="425">
        <f>SUM($H$8:$H$10)</f>
        <v>0</v>
      </c>
      <c r="J11" s="31">
        <f>SUM($J$8:$J$10)</f>
        <v>0</v>
      </c>
      <c r="L11" s="21">
        <f>SUM($L$8:$L$10)</f>
        <v>0</v>
      </c>
      <c r="T11" s="42"/>
      <c r="V11" s="18"/>
    </row>
    <row r="12" spans="1:24" ht="9.9499999999999993" customHeight="1" x14ac:dyDescent="0.25">
      <c r="A12" s="126"/>
      <c r="E12" s="53"/>
      <c r="F12" s="257"/>
      <c r="J12" s="53"/>
      <c r="L12" s="53"/>
      <c r="T12" s="53"/>
      <c r="V12" s="18"/>
    </row>
    <row r="13" spans="1:24" ht="15.75" x14ac:dyDescent="0.25">
      <c r="A13" s="903" t="s">
        <v>308</v>
      </c>
      <c r="B13" s="903"/>
      <c r="C13" s="903"/>
      <c r="D13" s="205"/>
      <c r="E13" s="42"/>
      <c r="F13" s="257"/>
      <c r="J13" s="42"/>
      <c r="L13" s="42"/>
      <c r="T13" s="42"/>
      <c r="V13" s="18"/>
    </row>
    <row r="14" spans="1:24" ht="15" customHeight="1" x14ac:dyDescent="0.25">
      <c r="A14" s="901" t="s">
        <v>309</v>
      </c>
      <c r="B14" s="898"/>
      <c r="C14" s="899"/>
      <c r="D14" s="639"/>
      <c r="E14" s="3">
        <v>0</v>
      </c>
      <c r="F14" s="7">
        <f>IFERROR(($G14+$H14)/$E14,1)</f>
        <v>1</v>
      </c>
      <c r="G14" s="414">
        <v>0</v>
      </c>
      <c r="H14" s="414">
        <v>0</v>
      </c>
      <c r="J14" s="3">
        <v>0</v>
      </c>
      <c r="L14" s="14">
        <f t="shared" ref="L14:L17" si="1">$E14+$J14</f>
        <v>0</v>
      </c>
      <c r="N14" s="258"/>
      <c r="T14" s="18"/>
      <c r="V14" s="18"/>
    </row>
    <row r="15" spans="1:24" ht="15" customHeight="1" x14ac:dyDescent="0.25">
      <c r="A15" s="897" t="s">
        <v>310</v>
      </c>
      <c r="B15" s="898"/>
      <c r="C15" s="899"/>
      <c r="D15" s="639"/>
      <c r="E15" s="3">
        <v>0</v>
      </c>
      <c r="F15" s="7">
        <v>0</v>
      </c>
      <c r="G15" s="256"/>
      <c r="H15" s="256"/>
      <c r="J15" s="3">
        <v>0</v>
      </c>
      <c r="L15" s="14">
        <f t="shared" si="1"/>
        <v>0</v>
      </c>
      <c r="T15" s="18"/>
      <c r="V15" s="18"/>
    </row>
    <row r="16" spans="1:24" ht="15" customHeight="1" x14ac:dyDescent="0.25">
      <c r="A16" s="897" t="s">
        <v>311</v>
      </c>
      <c r="B16" s="898"/>
      <c r="C16" s="899"/>
      <c r="D16" s="639"/>
      <c r="E16" s="3">
        <v>0</v>
      </c>
      <c r="F16" s="7">
        <f t="shared" ref="F16:F17" si="2">IFERROR(($G16+$H16)/$E16,1)</f>
        <v>1</v>
      </c>
      <c r="G16" s="414">
        <v>0</v>
      </c>
      <c r="H16" s="414">
        <v>0</v>
      </c>
      <c r="J16" s="3">
        <v>0</v>
      </c>
      <c r="L16" s="14">
        <f t="shared" si="1"/>
        <v>0</v>
      </c>
      <c r="N16" s="259"/>
      <c r="O16" s="259"/>
      <c r="T16" s="18"/>
      <c r="V16" s="18"/>
    </row>
    <row r="17" spans="1:22" ht="15" customHeight="1" x14ac:dyDescent="0.25">
      <c r="A17" s="918"/>
      <c r="B17" s="895"/>
      <c r="C17" s="896"/>
      <c r="D17" s="639"/>
      <c r="E17" s="3">
        <v>0</v>
      </c>
      <c r="F17" s="7">
        <f t="shared" si="2"/>
        <v>1</v>
      </c>
      <c r="G17" s="414">
        <v>0</v>
      </c>
      <c r="H17" s="414">
        <v>0</v>
      </c>
      <c r="J17" s="3">
        <v>0</v>
      </c>
      <c r="L17" s="14">
        <f t="shared" si="1"/>
        <v>0</v>
      </c>
      <c r="N17" s="259"/>
      <c r="O17" s="259"/>
      <c r="T17" s="18"/>
      <c r="V17" s="18"/>
    </row>
    <row r="18" spans="1:22" ht="15" customHeight="1" x14ac:dyDescent="0.25">
      <c r="A18" s="908" t="s">
        <v>312</v>
      </c>
      <c r="B18" s="909"/>
      <c r="C18" s="909"/>
      <c r="D18" s="910"/>
      <c r="E18" s="31">
        <f>SUM($E$14:$E$17)</f>
        <v>0</v>
      </c>
      <c r="F18" s="19"/>
      <c r="G18" s="31">
        <f>SUM($G$14:$G$17)</f>
        <v>0</v>
      </c>
      <c r="H18" s="31">
        <f>SUM($H$14:$H$17)</f>
        <v>0</v>
      </c>
      <c r="J18" s="31">
        <f>SUM($J$14:$J$17)</f>
        <v>0</v>
      </c>
      <c r="L18" s="21">
        <f>SUM(L14:$L$17)</f>
        <v>0</v>
      </c>
      <c r="N18" s="259"/>
      <c r="O18" s="259"/>
      <c r="T18" s="18"/>
      <c r="V18" s="18"/>
    </row>
    <row r="19" spans="1:22" ht="9.9499999999999993" customHeight="1" x14ac:dyDescent="0.25">
      <c r="A19" s="126"/>
      <c r="E19" s="18"/>
      <c r="F19" s="257"/>
      <c r="J19" s="18"/>
      <c r="L19" s="18"/>
      <c r="N19" s="259"/>
      <c r="O19" s="259"/>
      <c r="T19" s="18"/>
      <c r="V19" s="18"/>
    </row>
    <row r="20" spans="1:22" ht="15.75" customHeight="1" x14ac:dyDescent="0.25">
      <c r="A20" s="903" t="s">
        <v>313</v>
      </c>
      <c r="B20" s="903"/>
      <c r="C20" s="903"/>
      <c r="D20" s="205"/>
      <c r="E20" s="18"/>
      <c r="F20" s="257"/>
      <c r="J20" s="18"/>
      <c r="L20" s="18"/>
      <c r="N20" s="259"/>
      <c r="O20" s="259"/>
      <c r="T20" s="18"/>
      <c r="V20" s="18"/>
    </row>
    <row r="21" spans="1:22" ht="15" customHeight="1" x14ac:dyDescent="0.25">
      <c r="A21" s="901" t="s">
        <v>314</v>
      </c>
      <c r="B21" s="898"/>
      <c r="C21" s="899"/>
      <c r="D21" s="639"/>
      <c r="E21" s="3">
        <v>0</v>
      </c>
      <c r="F21" s="7">
        <f t="shared" ref="F21:F26" si="3">IFERROR(($G21+$H21)/$E21,1)</f>
        <v>1</v>
      </c>
      <c r="G21" s="414">
        <v>0</v>
      </c>
      <c r="H21" s="414">
        <v>0</v>
      </c>
      <c r="J21" s="3">
        <v>0</v>
      </c>
      <c r="L21" s="14">
        <f t="shared" ref="L21:L26" si="4">$E21+$J21</f>
        <v>0</v>
      </c>
      <c r="T21" s="18"/>
      <c r="V21" s="18"/>
    </row>
    <row r="22" spans="1:22" ht="15" customHeight="1" x14ac:dyDescent="0.25">
      <c r="A22" s="901" t="s">
        <v>315</v>
      </c>
      <c r="B22" s="898"/>
      <c r="C22" s="899"/>
      <c r="D22" s="639"/>
      <c r="E22" s="3">
        <v>0</v>
      </c>
      <c r="F22" s="7">
        <f t="shared" si="3"/>
        <v>1</v>
      </c>
      <c r="G22" s="414">
        <v>0</v>
      </c>
      <c r="H22" s="414">
        <v>0</v>
      </c>
      <c r="J22" s="3">
        <v>0</v>
      </c>
      <c r="L22" s="14">
        <f t="shared" si="4"/>
        <v>0</v>
      </c>
      <c r="T22" s="18"/>
      <c r="V22" s="18"/>
    </row>
    <row r="23" spans="1:22" ht="15" customHeight="1" x14ac:dyDescent="0.25">
      <c r="A23" s="901" t="s">
        <v>316</v>
      </c>
      <c r="B23" s="898"/>
      <c r="C23" s="899"/>
      <c r="D23" s="639"/>
      <c r="E23" s="3">
        <v>0</v>
      </c>
      <c r="F23" s="7">
        <f t="shared" si="3"/>
        <v>1</v>
      </c>
      <c r="G23" s="414">
        <v>0</v>
      </c>
      <c r="H23" s="414">
        <v>0</v>
      </c>
      <c r="J23" s="3">
        <v>0</v>
      </c>
      <c r="L23" s="14">
        <f t="shared" si="4"/>
        <v>0</v>
      </c>
      <c r="T23" s="18"/>
      <c r="V23" s="18"/>
    </row>
    <row r="24" spans="1:22" ht="15" customHeight="1" x14ac:dyDescent="0.25">
      <c r="A24" s="901" t="s">
        <v>317</v>
      </c>
      <c r="B24" s="898"/>
      <c r="C24" s="260">
        <f>IF(E24=0,0,E24/($E$21+$E$22+$E$23+$E$29+$E$10+$E$18))</f>
        <v>0</v>
      </c>
      <c r="D24" s="613"/>
      <c r="E24" s="3">
        <v>0</v>
      </c>
      <c r="F24" s="7">
        <f t="shared" si="3"/>
        <v>1</v>
      </c>
      <c r="G24" s="414">
        <v>0</v>
      </c>
      <c r="H24" s="414">
        <v>0</v>
      </c>
      <c r="J24" s="3">
        <v>0</v>
      </c>
      <c r="L24" s="14">
        <f t="shared" si="4"/>
        <v>0</v>
      </c>
      <c r="M24" s="261"/>
      <c r="T24" s="18"/>
      <c r="V24" s="18"/>
    </row>
    <row r="25" spans="1:22" ht="15" customHeight="1" x14ac:dyDescent="0.25">
      <c r="A25" s="901" t="s">
        <v>318</v>
      </c>
      <c r="B25" s="902"/>
      <c r="C25" s="260">
        <f>IF(E25=0,0,E25/($E$21+$E$22+$E$23+$E$29+$E$10+$E$18))</f>
        <v>0</v>
      </c>
      <c r="D25" s="613"/>
      <c r="E25" s="3">
        <v>0</v>
      </c>
      <c r="F25" s="7">
        <f t="shared" si="3"/>
        <v>1</v>
      </c>
      <c r="G25" s="414">
        <v>0</v>
      </c>
      <c r="H25" s="414">
        <v>0</v>
      </c>
      <c r="J25" s="3">
        <v>0</v>
      </c>
      <c r="L25" s="14">
        <f t="shared" si="4"/>
        <v>0</v>
      </c>
      <c r="M25" s="261"/>
      <c r="T25" s="18"/>
      <c r="V25" s="18"/>
    </row>
    <row r="26" spans="1:22" ht="15" customHeight="1" x14ac:dyDescent="0.25">
      <c r="A26" s="901" t="s">
        <v>319</v>
      </c>
      <c r="B26" s="902"/>
      <c r="C26" s="260">
        <f>IF(E26=0,0,E26/($E$21+$E$22+$E$23+$E$29+$E$10+$E$18))</f>
        <v>0</v>
      </c>
      <c r="D26" s="613"/>
      <c r="E26" s="3">
        <v>0</v>
      </c>
      <c r="F26" s="7">
        <f t="shared" si="3"/>
        <v>1</v>
      </c>
      <c r="G26" s="414">
        <v>0</v>
      </c>
      <c r="H26" s="414">
        <v>0</v>
      </c>
      <c r="J26" s="3">
        <v>0</v>
      </c>
      <c r="L26" s="14">
        <f t="shared" si="4"/>
        <v>0</v>
      </c>
      <c r="M26" s="261"/>
      <c r="T26" s="18"/>
      <c r="V26" s="18"/>
    </row>
    <row r="27" spans="1:22" s="126" customFormat="1" x14ac:dyDescent="0.25">
      <c r="A27" s="904" t="s">
        <v>379</v>
      </c>
      <c r="B27" s="902"/>
      <c r="C27" s="51">
        <f>SUM(C24:C26)</f>
        <v>0</v>
      </c>
      <c r="D27" s="614"/>
      <c r="E27" s="52"/>
      <c r="F27" s="262"/>
      <c r="G27" s="263"/>
      <c r="H27" s="263"/>
      <c r="J27" s="52"/>
      <c r="L27" s="52"/>
      <c r="M27" s="264"/>
      <c r="T27" s="53"/>
      <c r="V27" s="53"/>
    </row>
    <row r="28" spans="1:22" s="265" customFormat="1" ht="15" customHeight="1" x14ac:dyDescent="0.25">
      <c r="A28" s="905" t="s">
        <v>320</v>
      </c>
      <c r="B28" s="906"/>
      <c r="C28" s="907"/>
      <c r="D28" s="640"/>
      <c r="E28" s="3">
        <v>0</v>
      </c>
      <c r="F28" s="7">
        <f t="shared" ref="F28:F34" si="5">IFERROR(($G28+$H28)/$E28,1)</f>
        <v>1</v>
      </c>
      <c r="G28" s="414">
        <v>0</v>
      </c>
      <c r="H28" s="414">
        <v>0</v>
      </c>
      <c r="J28" s="3">
        <v>0</v>
      </c>
      <c r="L28" s="14">
        <f t="shared" ref="L28:L34" si="6">$E28+$J28</f>
        <v>0</v>
      </c>
      <c r="M28" s="266"/>
      <c r="T28" s="43"/>
      <c r="V28" s="43"/>
    </row>
    <row r="29" spans="1:22" s="265" customFormat="1" ht="15" customHeight="1" x14ac:dyDescent="0.25">
      <c r="A29" s="905" t="s">
        <v>321</v>
      </c>
      <c r="B29" s="906"/>
      <c r="C29" s="907"/>
      <c r="D29" s="640"/>
      <c r="E29" s="3">
        <v>0</v>
      </c>
      <c r="F29" s="7">
        <f t="shared" si="5"/>
        <v>1</v>
      </c>
      <c r="G29" s="414">
        <v>0</v>
      </c>
      <c r="H29" s="414">
        <v>0</v>
      </c>
      <c r="J29" s="3">
        <v>0</v>
      </c>
      <c r="L29" s="14">
        <f t="shared" si="6"/>
        <v>0</v>
      </c>
      <c r="M29" s="266"/>
      <c r="T29" s="43"/>
      <c r="V29" s="43"/>
    </row>
    <row r="30" spans="1:22" s="265" customFormat="1" ht="15" customHeight="1" x14ac:dyDescent="0.25">
      <c r="A30" s="905" t="s">
        <v>322</v>
      </c>
      <c r="B30" s="906"/>
      <c r="C30" s="907"/>
      <c r="D30" s="640"/>
      <c r="E30" s="3">
        <v>0</v>
      </c>
      <c r="F30" s="7">
        <f t="shared" si="5"/>
        <v>1</v>
      </c>
      <c r="G30" s="414">
        <v>0</v>
      </c>
      <c r="H30" s="414">
        <v>0</v>
      </c>
      <c r="J30" s="3">
        <v>0</v>
      </c>
      <c r="L30" s="14">
        <f t="shared" si="6"/>
        <v>0</v>
      </c>
      <c r="M30" s="266"/>
      <c r="T30" s="43"/>
      <c r="V30" s="43"/>
    </row>
    <row r="31" spans="1:22" ht="15" customHeight="1" x14ac:dyDescent="0.25">
      <c r="A31" s="901" t="s">
        <v>323</v>
      </c>
      <c r="B31" s="902"/>
      <c r="C31" s="922"/>
      <c r="D31" s="640"/>
      <c r="E31" s="3">
        <v>0</v>
      </c>
      <c r="F31" s="7">
        <f t="shared" si="5"/>
        <v>1</v>
      </c>
      <c r="G31" s="414">
        <v>0</v>
      </c>
      <c r="H31" s="414">
        <v>0</v>
      </c>
      <c r="J31" s="3">
        <v>0</v>
      </c>
      <c r="L31" s="14">
        <f t="shared" si="6"/>
        <v>0</v>
      </c>
      <c r="T31" s="18"/>
      <c r="V31" s="18"/>
    </row>
    <row r="32" spans="1:22" ht="15" customHeight="1" x14ac:dyDescent="0.25">
      <c r="A32" s="918"/>
      <c r="B32" s="895"/>
      <c r="C32" s="896"/>
      <c r="D32" s="639"/>
      <c r="E32" s="3">
        <v>0</v>
      </c>
      <c r="F32" s="7">
        <f t="shared" si="5"/>
        <v>1</v>
      </c>
      <c r="G32" s="414">
        <v>0</v>
      </c>
      <c r="H32" s="414">
        <v>0</v>
      </c>
      <c r="J32" s="3">
        <v>0</v>
      </c>
      <c r="L32" s="14">
        <f t="shared" si="6"/>
        <v>0</v>
      </c>
      <c r="T32" s="18"/>
      <c r="V32" s="18"/>
    </row>
    <row r="33" spans="1:22" ht="15" customHeight="1" x14ac:dyDescent="0.25">
      <c r="A33" s="918"/>
      <c r="B33" s="895"/>
      <c r="C33" s="896"/>
      <c r="D33" s="639"/>
      <c r="E33" s="3">
        <v>0</v>
      </c>
      <c r="F33" s="7">
        <f t="shared" si="5"/>
        <v>1</v>
      </c>
      <c r="G33" s="414">
        <v>0</v>
      </c>
      <c r="H33" s="414">
        <v>0</v>
      </c>
      <c r="J33" s="3">
        <v>0</v>
      </c>
      <c r="L33" s="14">
        <f t="shared" si="6"/>
        <v>0</v>
      </c>
      <c r="T33" s="18"/>
      <c r="V33" s="18"/>
    </row>
    <row r="34" spans="1:22" ht="15" customHeight="1" x14ac:dyDescent="0.25">
      <c r="A34" s="918"/>
      <c r="B34" s="895"/>
      <c r="C34" s="896"/>
      <c r="D34" s="639"/>
      <c r="E34" s="3">
        <v>0</v>
      </c>
      <c r="F34" s="7">
        <f t="shared" si="5"/>
        <v>1</v>
      </c>
      <c r="G34" s="414">
        <v>0</v>
      </c>
      <c r="H34" s="414">
        <v>0</v>
      </c>
      <c r="J34" s="3">
        <v>0</v>
      </c>
      <c r="L34" s="14">
        <f t="shared" si="6"/>
        <v>0</v>
      </c>
      <c r="T34" s="18"/>
      <c r="V34" s="18"/>
    </row>
    <row r="35" spans="1:22" ht="15" customHeight="1" x14ac:dyDescent="0.25">
      <c r="A35" s="908" t="s">
        <v>324</v>
      </c>
      <c r="B35" s="909"/>
      <c r="C35" s="909"/>
      <c r="D35" s="910"/>
      <c r="E35" s="31">
        <f>SUM($E$21:$E$26,$E$28:$E$34)</f>
        <v>0</v>
      </c>
      <c r="F35" s="19"/>
      <c r="G35" s="31">
        <f>SUM($G$21:$G$34)</f>
        <v>0</v>
      </c>
      <c r="H35" s="31">
        <f>SUM($H$21:$H$34)</f>
        <v>0</v>
      </c>
      <c r="J35" s="31">
        <f>SUM($J$21:$J$34)</f>
        <v>0</v>
      </c>
      <c r="L35" s="21">
        <f>SUM($L$21:$L$34)</f>
        <v>0</v>
      </c>
      <c r="T35" s="18"/>
      <c r="V35" s="18"/>
    </row>
    <row r="36" spans="1:22" ht="9.9499999999999993" customHeight="1" x14ac:dyDescent="0.25">
      <c r="A36" s="126"/>
      <c r="B36" s="126"/>
      <c r="C36" s="126"/>
      <c r="D36" s="126"/>
      <c r="E36" s="18"/>
      <c r="F36" s="257"/>
      <c r="J36" s="18"/>
      <c r="L36" s="18"/>
      <c r="T36" s="18"/>
      <c r="V36" s="18"/>
    </row>
    <row r="37" spans="1:22" ht="15.75" customHeight="1" x14ac:dyDescent="0.25">
      <c r="A37" s="903" t="s">
        <v>325</v>
      </c>
      <c r="B37" s="903"/>
      <c r="C37" s="903"/>
      <c r="D37" s="205"/>
      <c r="E37" s="18"/>
      <c r="F37" s="257"/>
      <c r="J37" s="18"/>
      <c r="L37" s="18"/>
      <c r="T37" s="18"/>
      <c r="V37" s="18"/>
    </row>
    <row r="38" spans="1:22" ht="15" customHeight="1" x14ac:dyDescent="0.25">
      <c r="A38" s="897" t="s">
        <v>326</v>
      </c>
      <c r="B38" s="898"/>
      <c r="C38" s="899"/>
      <c r="D38" s="639"/>
      <c r="E38" s="3">
        <v>0</v>
      </c>
      <c r="F38" s="7">
        <f t="shared" ref="F38:F45" si="7">IFERROR(($G38+$H38)/$E38,1)</f>
        <v>1</v>
      </c>
      <c r="G38" s="414">
        <v>0</v>
      </c>
      <c r="H38" s="414">
        <v>0</v>
      </c>
      <c r="J38" s="3">
        <v>0</v>
      </c>
      <c r="L38" s="14">
        <f t="shared" ref="L38:L45" si="8">$E38+$J38</f>
        <v>0</v>
      </c>
      <c r="T38" s="18"/>
      <c r="V38" s="18"/>
    </row>
    <row r="39" spans="1:22" ht="15" customHeight="1" x14ac:dyDescent="0.25">
      <c r="A39" s="897" t="s">
        <v>327</v>
      </c>
      <c r="B39" s="898"/>
      <c r="C39" s="899"/>
      <c r="D39" s="639"/>
      <c r="E39" s="3">
        <v>0</v>
      </c>
      <c r="F39" s="7">
        <f t="shared" si="7"/>
        <v>1</v>
      </c>
      <c r="G39" s="414">
        <v>0</v>
      </c>
      <c r="H39" s="414">
        <v>0</v>
      </c>
      <c r="J39" s="3">
        <v>0</v>
      </c>
      <c r="L39" s="14">
        <f t="shared" si="8"/>
        <v>0</v>
      </c>
      <c r="T39" s="18"/>
      <c r="V39" s="18"/>
    </row>
    <row r="40" spans="1:22" ht="15" customHeight="1" x14ac:dyDescent="0.25">
      <c r="A40" s="901" t="s">
        <v>328</v>
      </c>
      <c r="B40" s="898"/>
      <c r="C40" s="899"/>
      <c r="D40" s="639"/>
      <c r="E40" s="3">
        <v>0</v>
      </c>
      <c r="F40" s="7">
        <f t="shared" si="7"/>
        <v>1</v>
      </c>
      <c r="G40" s="414">
        <v>0</v>
      </c>
      <c r="H40" s="414">
        <v>0</v>
      </c>
      <c r="J40" s="3">
        <v>0</v>
      </c>
      <c r="L40" s="14">
        <f t="shared" si="8"/>
        <v>0</v>
      </c>
      <c r="T40" s="18"/>
      <c r="V40" s="18"/>
    </row>
    <row r="41" spans="1:22" ht="15" customHeight="1" x14ac:dyDescent="0.25">
      <c r="A41" s="897" t="s">
        <v>329</v>
      </c>
      <c r="B41" s="898"/>
      <c r="C41" s="899"/>
      <c r="D41" s="639"/>
      <c r="E41" s="3">
        <v>0</v>
      </c>
      <c r="F41" s="7">
        <f t="shared" si="7"/>
        <v>1</v>
      </c>
      <c r="G41" s="414">
        <v>0</v>
      </c>
      <c r="H41" s="414">
        <v>0</v>
      </c>
      <c r="J41" s="3">
        <v>0</v>
      </c>
      <c r="L41" s="14">
        <f t="shared" si="8"/>
        <v>0</v>
      </c>
      <c r="T41" s="18"/>
      <c r="V41" s="18"/>
    </row>
    <row r="42" spans="1:22" ht="15" customHeight="1" x14ac:dyDescent="0.25">
      <c r="A42" s="897" t="s">
        <v>330</v>
      </c>
      <c r="B42" s="898"/>
      <c r="C42" s="899"/>
      <c r="D42" s="639"/>
      <c r="E42" s="3">
        <v>0</v>
      </c>
      <c r="F42" s="7">
        <f t="shared" si="7"/>
        <v>1</v>
      </c>
      <c r="G42" s="414">
        <v>0</v>
      </c>
      <c r="H42" s="414">
        <v>0</v>
      </c>
      <c r="J42" s="3">
        <v>0</v>
      </c>
      <c r="L42" s="14">
        <f t="shared" si="8"/>
        <v>0</v>
      </c>
      <c r="T42" s="18"/>
      <c r="V42" s="18"/>
    </row>
    <row r="43" spans="1:22" ht="15" customHeight="1" x14ac:dyDescent="0.25">
      <c r="A43" s="894"/>
      <c r="B43" s="895"/>
      <c r="C43" s="896"/>
      <c r="D43" s="639"/>
      <c r="E43" s="3">
        <v>0</v>
      </c>
      <c r="F43" s="7">
        <f t="shared" si="7"/>
        <v>1</v>
      </c>
      <c r="G43" s="414">
        <v>0</v>
      </c>
      <c r="H43" s="414">
        <v>0</v>
      </c>
      <c r="J43" s="3">
        <v>0</v>
      </c>
      <c r="L43" s="14">
        <f t="shared" si="8"/>
        <v>0</v>
      </c>
      <c r="T43" s="18"/>
      <c r="V43" s="18"/>
    </row>
    <row r="44" spans="1:22" ht="15" customHeight="1" x14ac:dyDescent="0.25">
      <c r="A44" s="894"/>
      <c r="B44" s="895"/>
      <c r="C44" s="896"/>
      <c r="D44" s="639"/>
      <c r="E44" s="3">
        <v>0</v>
      </c>
      <c r="F44" s="7">
        <f t="shared" si="7"/>
        <v>1</v>
      </c>
      <c r="G44" s="414">
        <v>0</v>
      </c>
      <c r="H44" s="414">
        <v>0</v>
      </c>
      <c r="J44" s="3">
        <v>0</v>
      </c>
      <c r="L44" s="14">
        <f t="shared" si="8"/>
        <v>0</v>
      </c>
      <c r="T44" s="18"/>
      <c r="V44" s="18"/>
    </row>
    <row r="45" spans="1:22" ht="15" customHeight="1" x14ac:dyDescent="0.25">
      <c r="A45" s="894"/>
      <c r="B45" s="895"/>
      <c r="C45" s="896"/>
      <c r="D45" s="639"/>
      <c r="E45" s="3">
        <v>0</v>
      </c>
      <c r="F45" s="7">
        <f t="shared" si="7"/>
        <v>1</v>
      </c>
      <c r="G45" s="414">
        <v>0</v>
      </c>
      <c r="H45" s="414">
        <v>0</v>
      </c>
      <c r="J45" s="3">
        <v>0</v>
      </c>
      <c r="L45" s="14">
        <f t="shared" si="8"/>
        <v>0</v>
      </c>
      <c r="T45" s="18"/>
      <c r="V45" s="18"/>
    </row>
    <row r="46" spans="1:22" ht="15" customHeight="1" x14ac:dyDescent="0.25">
      <c r="A46" s="908" t="s">
        <v>331</v>
      </c>
      <c r="B46" s="909"/>
      <c r="C46" s="909"/>
      <c r="D46" s="910"/>
      <c r="E46" s="31">
        <f>SUM($E$38:$E$45)</f>
        <v>0</v>
      </c>
      <c r="F46" s="19"/>
      <c r="G46" s="31">
        <f>SUM($G$38:$G$45)</f>
        <v>0</v>
      </c>
      <c r="H46" s="31">
        <f>SUM($H$38:$H$45)</f>
        <v>0</v>
      </c>
      <c r="J46" s="31">
        <f>SUM($J$38:$J$45)</f>
        <v>0</v>
      </c>
      <c r="L46" s="21">
        <f>SUM($L$38:$L$45)</f>
        <v>0</v>
      </c>
      <c r="T46" s="44"/>
      <c r="V46" s="18"/>
    </row>
    <row r="47" spans="1:22" ht="9.9499999999999993" customHeight="1" x14ac:dyDescent="0.25">
      <c r="B47" s="198"/>
      <c r="C47" s="20"/>
      <c r="D47" s="20"/>
      <c r="E47" s="6"/>
      <c r="F47" s="257"/>
      <c r="J47" s="6"/>
      <c r="L47" s="13"/>
      <c r="T47" s="18"/>
      <c r="V47" s="18"/>
    </row>
    <row r="48" spans="1:22" ht="15.75" customHeight="1" x14ac:dyDescent="0.25">
      <c r="A48" s="903" t="s">
        <v>332</v>
      </c>
      <c r="B48" s="903"/>
      <c r="C48" s="903"/>
      <c r="D48" s="205"/>
      <c r="E48" s="6"/>
      <c r="F48" s="257"/>
      <c r="J48" s="6"/>
      <c r="L48" s="13"/>
      <c r="T48" s="18"/>
      <c r="V48" s="18"/>
    </row>
    <row r="49" spans="1:22" ht="15" customHeight="1" x14ac:dyDescent="0.25">
      <c r="A49" s="901" t="s">
        <v>333</v>
      </c>
      <c r="B49" s="898"/>
      <c r="C49" s="899"/>
      <c r="D49" s="639"/>
      <c r="E49" s="3">
        <v>0</v>
      </c>
      <c r="F49" s="7">
        <f t="shared" ref="F49:F62" si="9">IFERROR(($G49+$H49)/$E49,1)</f>
        <v>1</v>
      </c>
      <c r="G49" s="414">
        <v>0</v>
      </c>
      <c r="H49" s="414">
        <v>0</v>
      </c>
      <c r="J49" s="3">
        <v>0</v>
      </c>
      <c r="L49" s="14">
        <f t="shared" ref="L49:L62" si="10">$E49+$J49</f>
        <v>0</v>
      </c>
      <c r="T49" s="18"/>
      <c r="V49" s="18"/>
    </row>
    <row r="50" spans="1:22" ht="15" customHeight="1" x14ac:dyDescent="0.25">
      <c r="A50" s="901" t="s">
        <v>334</v>
      </c>
      <c r="B50" s="898"/>
      <c r="C50" s="899"/>
      <c r="D50" s="639"/>
      <c r="E50" s="3">
        <v>0</v>
      </c>
      <c r="F50" s="7">
        <f t="shared" si="9"/>
        <v>1</v>
      </c>
      <c r="G50" s="414">
        <v>0</v>
      </c>
      <c r="H50" s="414">
        <v>0</v>
      </c>
      <c r="J50" s="3">
        <v>0</v>
      </c>
      <c r="L50" s="14">
        <f t="shared" si="10"/>
        <v>0</v>
      </c>
      <c r="T50" s="18"/>
      <c r="V50" s="18"/>
    </row>
    <row r="51" spans="1:22" ht="15" customHeight="1" x14ac:dyDescent="0.25">
      <c r="A51" s="901" t="s">
        <v>335</v>
      </c>
      <c r="B51" s="898"/>
      <c r="C51" s="899"/>
      <c r="D51" s="639"/>
      <c r="E51" s="3">
        <v>0</v>
      </c>
      <c r="F51" s="7">
        <f t="shared" si="9"/>
        <v>1</v>
      </c>
      <c r="G51" s="414">
        <v>0</v>
      </c>
      <c r="H51" s="414">
        <v>0</v>
      </c>
      <c r="J51" s="3">
        <v>0</v>
      </c>
      <c r="L51" s="14">
        <f t="shared" si="10"/>
        <v>0</v>
      </c>
      <c r="T51" s="18"/>
      <c r="V51" s="18"/>
    </row>
    <row r="52" spans="1:22" ht="15" customHeight="1" x14ac:dyDescent="0.25">
      <c r="A52" s="901" t="s">
        <v>336</v>
      </c>
      <c r="B52" s="898"/>
      <c r="C52" s="899"/>
      <c r="D52" s="639"/>
      <c r="E52" s="3">
        <v>0</v>
      </c>
      <c r="F52" s="7">
        <f t="shared" si="9"/>
        <v>1</v>
      </c>
      <c r="G52" s="414">
        <v>0</v>
      </c>
      <c r="H52" s="414">
        <v>0</v>
      </c>
      <c r="J52" s="3">
        <v>0</v>
      </c>
      <c r="L52" s="14">
        <f t="shared" si="10"/>
        <v>0</v>
      </c>
      <c r="T52" s="18"/>
      <c r="V52" s="18"/>
    </row>
    <row r="53" spans="1:22" ht="15" customHeight="1" x14ac:dyDescent="0.25">
      <c r="A53" s="901" t="s">
        <v>337</v>
      </c>
      <c r="B53" s="898"/>
      <c r="C53" s="899"/>
      <c r="D53" s="639"/>
      <c r="E53" s="3">
        <v>0</v>
      </c>
      <c r="F53" s="7">
        <f t="shared" si="9"/>
        <v>1</v>
      </c>
      <c r="G53" s="414">
        <v>0</v>
      </c>
      <c r="H53" s="414">
        <v>0</v>
      </c>
      <c r="J53" s="3">
        <v>0</v>
      </c>
      <c r="L53" s="14">
        <f t="shared" si="10"/>
        <v>0</v>
      </c>
      <c r="T53" s="18"/>
      <c r="V53" s="18"/>
    </row>
    <row r="54" spans="1:22" ht="15" customHeight="1" x14ac:dyDescent="0.25">
      <c r="A54" s="901" t="s">
        <v>1099</v>
      </c>
      <c r="B54" s="898"/>
      <c r="C54" s="899"/>
      <c r="D54" s="639"/>
      <c r="E54" s="3">
        <v>0</v>
      </c>
      <c r="F54" s="7">
        <f t="shared" si="9"/>
        <v>1</v>
      </c>
      <c r="G54" s="414">
        <v>0</v>
      </c>
      <c r="H54" s="256"/>
      <c r="J54" s="3">
        <v>0</v>
      </c>
      <c r="L54" s="14">
        <f t="shared" si="10"/>
        <v>0</v>
      </c>
      <c r="T54" s="18"/>
      <c r="V54" s="18"/>
    </row>
    <row r="55" spans="1:22" ht="15" customHeight="1" x14ac:dyDescent="0.25">
      <c r="A55" s="901" t="s">
        <v>338</v>
      </c>
      <c r="B55" s="898"/>
      <c r="C55" s="899"/>
      <c r="D55" s="639"/>
      <c r="E55" s="3">
        <v>0</v>
      </c>
      <c r="F55" s="7">
        <f t="shared" si="9"/>
        <v>1</v>
      </c>
      <c r="G55" s="414">
        <v>0</v>
      </c>
      <c r="H55" s="414">
        <v>0</v>
      </c>
      <c r="J55" s="3">
        <v>0</v>
      </c>
      <c r="L55" s="14">
        <f t="shared" si="10"/>
        <v>0</v>
      </c>
      <c r="T55" s="18"/>
      <c r="V55" s="18"/>
    </row>
    <row r="56" spans="1:22" ht="15" customHeight="1" x14ac:dyDescent="0.25">
      <c r="A56" s="901" t="s">
        <v>339</v>
      </c>
      <c r="B56" s="898"/>
      <c r="C56" s="899"/>
      <c r="D56" s="639"/>
      <c r="E56" s="3">
        <v>0</v>
      </c>
      <c r="F56" s="7">
        <f t="shared" si="9"/>
        <v>1</v>
      </c>
      <c r="G56" s="414">
        <v>0</v>
      </c>
      <c r="H56" s="414">
        <v>0</v>
      </c>
      <c r="J56" s="3">
        <v>0</v>
      </c>
      <c r="L56" s="14">
        <f t="shared" si="10"/>
        <v>0</v>
      </c>
      <c r="T56" s="18"/>
      <c r="V56" s="18"/>
    </row>
    <row r="57" spans="1:22" ht="15" customHeight="1" x14ac:dyDescent="0.25">
      <c r="A57" s="901" t="s">
        <v>340</v>
      </c>
      <c r="B57" s="898"/>
      <c r="C57" s="899"/>
      <c r="D57" s="639"/>
      <c r="E57" s="3">
        <v>0</v>
      </c>
      <c r="F57" s="7">
        <f t="shared" si="9"/>
        <v>1</v>
      </c>
      <c r="G57" s="414">
        <v>0</v>
      </c>
      <c r="H57" s="414">
        <v>0</v>
      </c>
      <c r="J57" s="3">
        <v>0</v>
      </c>
      <c r="L57" s="14">
        <f t="shared" si="10"/>
        <v>0</v>
      </c>
      <c r="T57" s="18"/>
      <c r="V57" s="18"/>
    </row>
    <row r="58" spans="1:22" ht="15" customHeight="1" x14ac:dyDescent="0.25">
      <c r="A58" s="901" t="s">
        <v>182</v>
      </c>
      <c r="B58" s="898"/>
      <c r="C58" s="899"/>
      <c r="D58" s="639"/>
      <c r="E58" s="3">
        <v>0</v>
      </c>
      <c r="F58" s="7">
        <f t="shared" si="9"/>
        <v>1</v>
      </c>
      <c r="G58" s="414">
        <v>0</v>
      </c>
      <c r="H58" s="414">
        <v>0</v>
      </c>
      <c r="J58" s="3">
        <v>0</v>
      </c>
      <c r="L58" s="14">
        <f t="shared" si="10"/>
        <v>0</v>
      </c>
      <c r="T58" s="18"/>
      <c r="V58" s="18"/>
    </row>
    <row r="59" spans="1:22" ht="15" customHeight="1" x14ac:dyDescent="0.25">
      <c r="A59" s="901" t="s">
        <v>341</v>
      </c>
      <c r="B59" s="898"/>
      <c r="C59" s="899"/>
      <c r="D59" s="639"/>
      <c r="E59" s="3">
        <v>0</v>
      </c>
      <c r="F59" s="7">
        <f t="shared" si="9"/>
        <v>1</v>
      </c>
      <c r="G59" s="414">
        <v>0</v>
      </c>
      <c r="H59" s="414">
        <v>0</v>
      </c>
      <c r="J59" s="3">
        <v>0</v>
      </c>
      <c r="L59" s="14">
        <f t="shared" si="10"/>
        <v>0</v>
      </c>
      <c r="T59" s="18"/>
      <c r="V59" s="18"/>
    </row>
    <row r="60" spans="1:22" ht="15" customHeight="1" x14ac:dyDescent="0.25">
      <c r="A60" s="894"/>
      <c r="B60" s="895"/>
      <c r="C60" s="896"/>
      <c r="D60" s="639"/>
      <c r="E60" s="3">
        <v>0</v>
      </c>
      <c r="F60" s="7">
        <f t="shared" si="9"/>
        <v>1</v>
      </c>
      <c r="G60" s="414">
        <v>0</v>
      </c>
      <c r="H60" s="414">
        <v>0</v>
      </c>
      <c r="J60" s="3">
        <v>0</v>
      </c>
      <c r="L60" s="14">
        <f t="shared" si="10"/>
        <v>0</v>
      </c>
      <c r="T60" s="18"/>
      <c r="V60" s="18"/>
    </row>
    <row r="61" spans="1:22" ht="15" customHeight="1" x14ac:dyDescent="0.25">
      <c r="A61" s="894"/>
      <c r="B61" s="895"/>
      <c r="C61" s="896"/>
      <c r="D61" s="639"/>
      <c r="E61" s="3">
        <v>0</v>
      </c>
      <c r="F61" s="7">
        <f t="shared" si="9"/>
        <v>1</v>
      </c>
      <c r="G61" s="414">
        <v>0</v>
      </c>
      <c r="H61" s="414">
        <v>0</v>
      </c>
      <c r="J61" s="3">
        <v>0</v>
      </c>
      <c r="L61" s="14">
        <f t="shared" si="10"/>
        <v>0</v>
      </c>
      <c r="T61" s="18"/>
      <c r="V61" s="18"/>
    </row>
    <row r="62" spans="1:22" ht="15" customHeight="1" x14ac:dyDescent="0.25">
      <c r="A62" s="894"/>
      <c r="B62" s="895"/>
      <c r="C62" s="896"/>
      <c r="D62" s="639"/>
      <c r="E62" s="3">
        <v>0</v>
      </c>
      <c r="F62" s="7">
        <f t="shared" si="9"/>
        <v>1</v>
      </c>
      <c r="G62" s="414">
        <v>0</v>
      </c>
      <c r="H62" s="414">
        <v>0</v>
      </c>
      <c r="J62" s="3">
        <v>0</v>
      </c>
      <c r="L62" s="14">
        <f t="shared" si="10"/>
        <v>0</v>
      </c>
      <c r="T62" s="18"/>
      <c r="V62" s="18"/>
    </row>
    <row r="63" spans="1:22" ht="15" customHeight="1" x14ac:dyDescent="0.25">
      <c r="A63" s="908" t="s">
        <v>342</v>
      </c>
      <c r="B63" s="909"/>
      <c r="C63" s="909"/>
      <c r="D63" s="910"/>
      <c r="E63" s="31">
        <f>SUM($E$49:$E$62)</f>
        <v>0</v>
      </c>
      <c r="F63" s="19"/>
      <c r="G63" s="31">
        <f>SUM($G$49:$G$62)</f>
        <v>0</v>
      </c>
      <c r="H63" s="31">
        <f>SUM($H$49:$H$62)</f>
        <v>0</v>
      </c>
      <c r="J63" s="31">
        <f>SUM($J$49:$J$62)</f>
        <v>0</v>
      </c>
      <c r="L63" s="21">
        <f>SUM($L$49:$L$62)</f>
        <v>0</v>
      </c>
      <c r="T63" s="44"/>
      <c r="V63" s="18"/>
    </row>
    <row r="64" spans="1:22" ht="9.9499999999999993" customHeight="1" x14ac:dyDescent="0.25">
      <c r="A64" s="271"/>
      <c r="B64" s="188"/>
      <c r="C64" s="188"/>
      <c r="D64" s="188"/>
      <c r="E64" s="75"/>
      <c r="F64" s="257"/>
      <c r="J64" s="75"/>
      <c r="L64" s="415"/>
      <c r="T64" s="415"/>
      <c r="V64" s="415"/>
    </row>
    <row r="65" spans="1:22" ht="15.75" customHeight="1" x14ac:dyDescent="0.25">
      <c r="A65" s="903" t="s">
        <v>343</v>
      </c>
      <c r="B65" s="903"/>
      <c r="C65" s="903"/>
      <c r="D65" s="205"/>
      <c r="E65" s="6"/>
      <c r="F65" s="257"/>
      <c r="J65" s="6"/>
      <c r="L65" s="13"/>
      <c r="T65" s="18"/>
      <c r="V65" s="18"/>
    </row>
    <row r="66" spans="1:22" ht="15" customHeight="1" x14ac:dyDescent="0.25">
      <c r="A66" s="901" t="s">
        <v>344</v>
      </c>
      <c r="B66" s="898"/>
      <c r="C66" s="899"/>
      <c r="D66" s="639"/>
      <c r="E66" s="3">
        <v>0</v>
      </c>
      <c r="F66" s="7">
        <f t="shared" ref="F66:F75" si="11">IFERROR(($G66+$H66)/$E66,1)</f>
        <v>1</v>
      </c>
      <c r="G66" s="256"/>
      <c r="H66" s="256"/>
      <c r="J66" s="3">
        <v>0</v>
      </c>
      <c r="L66" s="14">
        <f t="shared" ref="L66:L75" si="12">$E66+$J66</f>
        <v>0</v>
      </c>
      <c r="T66" s="18"/>
      <c r="V66" s="18"/>
    </row>
    <row r="67" spans="1:22" ht="15" customHeight="1" x14ac:dyDescent="0.25">
      <c r="A67" s="901" t="s">
        <v>335</v>
      </c>
      <c r="B67" s="898"/>
      <c r="C67" s="899"/>
      <c r="D67" s="639"/>
      <c r="E67" s="3">
        <v>0</v>
      </c>
      <c r="F67" s="7">
        <f t="shared" si="11"/>
        <v>1</v>
      </c>
      <c r="G67" s="256"/>
      <c r="H67" s="256"/>
      <c r="J67" s="3">
        <v>0</v>
      </c>
      <c r="L67" s="14">
        <f t="shared" si="12"/>
        <v>0</v>
      </c>
      <c r="T67" s="18"/>
      <c r="V67" s="18"/>
    </row>
    <row r="68" spans="1:22" ht="15" customHeight="1" x14ac:dyDescent="0.25">
      <c r="A68" s="901" t="s">
        <v>345</v>
      </c>
      <c r="B68" s="898"/>
      <c r="C68" s="899"/>
      <c r="D68" s="639"/>
      <c r="E68" s="3">
        <v>0</v>
      </c>
      <c r="F68" s="7">
        <f t="shared" si="11"/>
        <v>1</v>
      </c>
      <c r="G68" s="256"/>
      <c r="H68" s="256"/>
      <c r="J68" s="3">
        <v>0</v>
      </c>
      <c r="L68" s="14">
        <f t="shared" si="12"/>
        <v>0</v>
      </c>
      <c r="T68" s="18"/>
      <c r="V68" s="18"/>
    </row>
    <row r="69" spans="1:22" ht="15" customHeight="1" x14ac:dyDescent="0.25">
      <c r="A69" s="901" t="s">
        <v>346</v>
      </c>
      <c r="B69" s="898"/>
      <c r="C69" s="899"/>
      <c r="D69" s="639"/>
      <c r="E69" s="3">
        <v>0</v>
      </c>
      <c r="F69" s="7">
        <f t="shared" si="11"/>
        <v>1</v>
      </c>
      <c r="G69" s="256"/>
      <c r="H69" s="256"/>
      <c r="J69" s="3">
        <v>0</v>
      </c>
      <c r="L69" s="14">
        <f t="shared" si="12"/>
        <v>0</v>
      </c>
      <c r="T69" s="18"/>
      <c r="V69" s="18"/>
    </row>
    <row r="70" spans="1:22" ht="15" customHeight="1" x14ac:dyDescent="0.25">
      <c r="A70" s="901" t="s">
        <v>338</v>
      </c>
      <c r="B70" s="898"/>
      <c r="C70" s="899"/>
      <c r="D70" s="639"/>
      <c r="E70" s="3">
        <v>0</v>
      </c>
      <c r="F70" s="7">
        <f t="shared" si="11"/>
        <v>1</v>
      </c>
      <c r="G70" s="256"/>
      <c r="H70" s="256"/>
      <c r="J70" s="3">
        <v>0</v>
      </c>
      <c r="L70" s="14">
        <f t="shared" si="12"/>
        <v>0</v>
      </c>
      <c r="T70" s="18"/>
      <c r="V70" s="18"/>
    </row>
    <row r="71" spans="1:22" ht="15" customHeight="1" x14ac:dyDescent="0.25">
      <c r="A71" s="901" t="s">
        <v>340</v>
      </c>
      <c r="B71" s="898"/>
      <c r="C71" s="899"/>
      <c r="D71" s="639"/>
      <c r="E71" s="3">
        <v>0</v>
      </c>
      <c r="F71" s="7">
        <f t="shared" si="11"/>
        <v>1</v>
      </c>
      <c r="G71" s="256"/>
      <c r="H71" s="256"/>
      <c r="J71" s="3">
        <v>0</v>
      </c>
      <c r="L71" s="14">
        <f t="shared" si="12"/>
        <v>0</v>
      </c>
      <c r="T71" s="18"/>
      <c r="V71" s="18"/>
    </row>
    <row r="72" spans="1:22" ht="15" customHeight="1" x14ac:dyDescent="0.25">
      <c r="A72" s="901" t="s">
        <v>182</v>
      </c>
      <c r="B72" s="898"/>
      <c r="C72" s="899"/>
      <c r="D72" s="639"/>
      <c r="E72" s="3">
        <v>0</v>
      </c>
      <c r="F72" s="7">
        <f t="shared" si="11"/>
        <v>1</v>
      </c>
      <c r="G72" s="256"/>
      <c r="H72" s="256"/>
      <c r="J72" s="3">
        <v>0</v>
      </c>
      <c r="L72" s="14">
        <f t="shared" si="12"/>
        <v>0</v>
      </c>
      <c r="T72" s="18"/>
      <c r="V72" s="18"/>
    </row>
    <row r="73" spans="1:22" ht="15" customHeight="1" x14ac:dyDescent="0.25">
      <c r="A73" s="894"/>
      <c r="B73" s="895"/>
      <c r="C73" s="896"/>
      <c r="D73" s="639"/>
      <c r="E73" s="3">
        <v>0</v>
      </c>
      <c r="F73" s="7">
        <f t="shared" si="11"/>
        <v>1</v>
      </c>
      <c r="G73" s="256"/>
      <c r="H73" s="256"/>
      <c r="J73" s="3">
        <v>0</v>
      </c>
      <c r="L73" s="14">
        <f t="shared" si="12"/>
        <v>0</v>
      </c>
      <c r="T73" s="18"/>
      <c r="V73" s="18"/>
    </row>
    <row r="74" spans="1:22" ht="15" customHeight="1" x14ac:dyDescent="0.25">
      <c r="A74" s="894"/>
      <c r="B74" s="895"/>
      <c r="C74" s="896"/>
      <c r="D74" s="639"/>
      <c r="E74" s="3">
        <v>0</v>
      </c>
      <c r="F74" s="7">
        <f t="shared" si="11"/>
        <v>1</v>
      </c>
      <c r="G74" s="256"/>
      <c r="H74" s="256"/>
      <c r="J74" s="3">
        <v>0</v>
      </c>
      <c r="L74" s="14">
        <f t="shared" si="12"/>
        <v>0</v>
      </c>
      <c r="T74" s="18"/>
      <c r="V74" s="18"/>
    </row>
    <row r="75" spans="1:22" ht="15" customHeight="1" x14ac:dyDescent="0.25">
      <c r="A75" s="894"/>
      <c r="B75" s="895"/>
      <c r="C75" s="896"/>
      <c r="D75" s="639"/>
      <c r="E75" s="3">
        <v>0</v>
      </c>
      <c r="F75" s="7">
        <f t="shared" si="11"/>
        <v>1</v>
      </c>
      <c r="G75" s="256"/>
      <c r="H75" s="256"/>
      <c r="J75" s="3">
        <v>0</v>
      </c>
      <c r="L75" s="14">
        <f t="shared" si="12"/>
        <v>0</v>
      </c>
      <c r="T75" s="18"/>
      <c r="V75" s="18"/>
    </row>
    <row r="76" spans="1:22" ht="15" customHeight="1" x14ac:dyDescent="0.25">
      <c r="A76" s="908" t="s">
        <v>347</v>
      </c>
      <c r="B76" s="909"/>
      <c r="C76" s="909"/>
      <c r="D76" s="910"/>
      <c r="E76" s="31">
        <f>SUM($E$66:$E$75)</f>
        <v>0</v>
      </c>
      <c r="F76" s="19"/>
      <c r="G76" s="256"/>
      <c r="H76" s="256"/>
      <c r="J76" s="31">
        <f>SUM($J$66:$J$75)</f>
        <v>0</v>
      </c>
      <c r="L76" s="21">
        <f>SUM($L$66:$L$75)</f>
        <v>0</v>
      </c>
      <c r="T76" s="44"/>
      <c r="V76" s="18"/>
    </row>
    <row r="77" spans="1:22" ht="9.9499999999999993" customHeight="1" x14ac:dyDescent="0.25">
      <c r="A77" s="271"/>
      <c r="B77" s="188"/>
      <c r="C77" s="188"/>
      <c r="D77" s="188"/>
      <c r="E77" s="75"/>
      <c r="F77" s="257"/>
      <c r="J77" s="75"/>
      <c r="L77" s="415"/>
      <c r="T77" s="415"/>
      <c r="V77" s="415"/>
    </row>
    <row r="78" spans="1:22" ht="15.75" customHeight="1" x14ac:dyDescent="0.25">
      <c r="A78" s="903" t="s">
        <v>348</v>
      </c>
      <c r="B78" s="903"/>
      <c r="C78" s="903"/>
      <c r="D78" s="205"/>
      <c r="E78" s="6"/>
      <c r="F78" s="257"/>
      <c r="J78" s="6"/>
      <c r="L78" s="13"/>
      <c r="T78" s="18"/>
      <c r="V78" s="18"/>
    </row>
    <row r="79" spans="1:22" ht="15" customHeight="1" x14ac:dyDescent="0.25">
      <c r="A79" s="901" t="s">
        <v>349</v>
      </c>
      <c r="B79" s="898"/>
      <c r="C79" s="899"/>
      <c r="D79" s="639"/>
      <c r="E79" s="3">
        <v>0</v>
      </c>
      <c r="F79" s="7">
        <f t="shared" ref="F79:F81" si="13">IFERROR(($G79+$H79)/$E79,1)</f>
        <v>1</v>
      </c>
      <c r="G79" s="414">
        <v>0</v>
      </c>
      <c r="H79" s="414">
        <v>0</v>
      </c>
      <c r="J79" s="3">
        <v>0</v>
      </c>
      <c r="L79" s="14">
        <f t="shared" ref="L79:L88" si="14">$E79+$J79</f>
        <v>0</v>
      </c>
      <c r="T79" s="18"/>
      <c r="V79" s="18"/>
    </row>
    <row r="80" spans="1:22" ht="15" customHeight="1" x14ac:dyDescent="0.25">
      <c r="A80" s="901" t="s">
        <v>350</v>
      </c>
      <c r="B80" s="898"/>
      <c r="C80" s="899"/>
      <c r="D80" s="639"/>
      <c r="E80" s="3">
        <v>0</v>
      </c>
      <c r="F80" s="7">
        <f t="shared" si="13"/>
        <v>1</v>
      </c>
      <c r="G80" s="414">
        <v>0</v>
      </c>
      <c r="H80" s="414">
        <v>0</v>
      </c>
      <c r="J80" s="3">
        <v>0</v>
      </c>
      <c r="L80" s="14">
        <f t="shared" si="14"/>
        <v>0</v>
      </c>
      <c r="T80" s="18"/>
      <c r="V80" s="18"/>
    </row>
    <row r="81" spans="1:22" ht="15" customHeight="1" x14ac:dyDescent="0.25">
      <c r="A81" s="901" t="s">
        <v>351</v>
      </c>
      <c r="B81" s="898"/>
      <c r="C81" s="899"/>
      <c r="D81" s="639"/>
      <c r="E81" s="3">
        <v>0</v>
      </c>
      <c r="F81" s="7">
        <f t="shared" si="13"/>
        <v>1</v>
      </c>
      <c r="G81" s="414">
        <v>0</v>
      </c>
      <c r="H81" s="414">
        <v>0</v>
      </c>
      <c r="J81" s="3">
        <v>0</v>
      </c>
      <c r="L81" s="14">
        <f t="shared" si="14"/>
        <v>0</v>
      </c>
      <c r="T81" s="18"/>
      <c r="V81" s="18"/>
    </row>
    <row r="82" spans="1:22" ht="15" customHeight="1" x14ac:dyDescent="0.25">
      <c r="A82" s="901" t="s">
        <v>352</v>
      </c>
      <c r="B82" s="898"/>
      <c r="C82" s="899"/>
      <c r="D82" s="639"/>
      <c r="E82" s="3">
        <v>0</v>
      </c>
      <c r="F82" s="7">
        <v>0</v>
      </c>
      <c r="G82" s="256"/>
      <c r="H82" s="256"/>
      <c r="J82" s="3">
        <v>0</v>
      </c>
      <c r="L82" s="14">
        <f t="shared" si="14"/>
        <v>0</v>
      </c>
      <c r="T82" s="18"/>
      <c r="V82" s="18"/>
    </row>
    <row r="83" spans="1:22" ht="15" customHeight="1" x14ac:dyDescent="0.25">
      <c r="A83" s="901" t="s">
        <v>353</v>
      </c>
      <c r="B83" s="898"/>
      <c r="C83" s="899"/>
      <c r="D83" s="639"/>
      <c r="E83" s="3">
        <v>0</v>
      </c>
      <c r="F83" s="7">
        <v>0</v>
      </c>
      <c r="G83" s="256"/>
      <c r="H83" s="256"/>
      <c r="J83" s="3">
        <v>0</v>
      </c>
      <c r="L83" s="14">
        <f t="shared" si="14"/>
        <v>0</v>
      </c>
      <c r="T83" s="18"/>
      <c r="V83" s="18"/>
    </row>
    <row r="84" spans="1:22" ht="15" customHeight="1" x14ac:dyDescent="0.25">
      <c r="A84" s="901" t="s">
        <v>354</v>
      </c>
      <c r="B84" s="898"/>
      <c r="C84" s="899"/>
      <c r="D84" s="639"/>
      <c r="E84" s="3">
        <v>0</v>
      </c>
      <c r="F84" s="7">
        <f t="shared" ref="F84:F88" si="15">IFERROR(($G84+$H84)/$E84,1)</f>
        <v>1</v>
      </c>
      <c r="G84" s="414">
        <v>0</v>
      </c>
      <c r="H84" s="414">
        <v>0</v>
      </c>
      <c r="J84" s="3">
        <v>0</v>
      </c>
      <c r="L84" s="14">
        <f t="shared" si="14"/>
        <v>0</v>
      </c>
      <c r="T84" s="18"/>
      <c r="V84" s="18"/>
    </row>
    <row r="85" spans="1:22" ht="15" customHeight="1" x14ac:dyDescent="0.25">
      <c r="A85" s="901" t="s">
        <v>964</v>
      </c>
      <c r="B85" s="898"/>
      <c r="C85" s="899"/>
      <c r="D85" s="639"/>
      <c r="E85" s="3">
        <v>0</v>
      </c>
      <c r="F85" s="7">
        <f t="shared" si="15"/>
        <v>1</v>
      </c>
      <c r="G85" s="414">
        <v>0</v>
      </c>
      <c r="H85" s="414">
        <v>0</v>
      </c>
      <c r="J85" s="3">
        <v>0</v>
      </c>
      <c r="L85" s="14">
        <f t="shared" si="14"/>
        <v>0</v>
      </c>
      <c r="T85" s="18"/>
      <c r="V85" s="18"/>
    </row>
    <row r="86" spans="1:22" ht="15" customHeight="1" x14ac:dyDescent="0.25">
      <c r="A86" s="894"/>
      <c r="B86" s="895"/>
      <c r="C86" s="896"/>
      <c r="D86" s="639"/>
      <c r="E86" s="3">
        <v>0</v>
      </c>
      <c r="F86" s="7">
        <f t="shared" si="15"/>
        <v>1</v>
      </c>
      <c r="G86" s="414">
        <v>0</v>
      </c>
      <c r="H86" s="414">
        <v>0</v>
      </c>
      <c r="J86" s="3">
        <v>0</v>
      </c>
      <c r="L86" s="14">
        <f t="shared" si="14"/>
        <v>0</v>
      </c>
      <c r="T86" s="18"/>
      <c r="V86" s="18"/>
    </row>
    <row r="87" spans="1:22" ht="15" customHeight="1" x14ac:dyDescent="0.25">
      <c r="A87" s="894"/>
      <c r="B87" s="895"/>
      <c r="C87" s="896"/>
      <c r="D87" s="639"/>
      <c r="E87" s="3">
        <v>0</v>
      </c>
      <c r="F87" s="7">
        <f t="shared" si="15"/>
        <v>1</v>
      </c>
      <c r="G87" s="414">
        <v>0</v>
      </c>
      <c r="H87" s="414">
        <v>0</v>
      </c>
      <c r="J87" s="3">
        <v>0</v>
      </c>
      <c r="L87" s="14">
        <f t="shared" si="14"/>
        <v>0</v>
      </c>
      <c r="T87" s="18"/>
      <c r="V87" s="18"/>
    </row>
    <row r="88" spans="1:22" ht="15" customHeight="1" x14ac:dyDescent="0.25">
      <c r="A88" s="894"/>
      <c r="B88" s="895"/>
      <c r="C88" s="896"/>
      <c r="D88" s="639"/>
      <c r="E88" s="3">
        <v>0</v>
      </c>
      <c r="F88" s="7">
        <f t="shared" si="15"/>
        <v>1</v>
      </c>
      <c r="G88" s="414">
        <v>0</v>
      </c>
      <c r="H88" s="414">
        <v>0</v>
      </c>
      <c r="J88" s="3">
        <v>0</v>
      </c>
      <c r="L88" s="14">
        <f t="shared" si="14"/>
        <v>0</v>
      </c>
      <c r="T88" s="18"/>
      <c r="V88" s="18"/>
    </row>
    <row r="89" spans="1:22" ht="15" customHeight="1" x14ac:dyDescent="0.25">
      <c r="A89" s="908" t="s">
        <v>355</v>
      </c>
      <c r="B89" s="909"/>
      <c r="C89" s="909"/>
      <c r="D89" s="910"/>
      <c r="E89" s="31">
        <f>SUM($E$79:$E$88)</f>
        <v>0</v>
      </c>
      <c r="F89" s="19"/>
      <c r="G89" s="31">
        <f>SUM($G$79:$G$88)</f>
        <v>0</v>
      </c>
      <c r="H89" s="31">
        <f>SUM($H$79:$H$88)</f>
        <v>0</v>
      </c>
      <c r="J89" s="31">
        <f>SUM($J$79:$J$88)</f>
        <v>0</v>
      </c>
      <c r="L89" s="21">
        <f>SUM($L$79:$L$88)</f>
        <v>0</v>
      </c>
      <c r="T89" s="44"/>
      <c r="V89" s="18"/>
    </row>
    <row r="90" spans="1:22" ht="9.9499999999999993" customHeight="1" x14ac:dyDescent="0.25">
      <c r="A90" s="271"/>
      <c r="B90" s="188"/>
      <c r="C90" s="188"/>
      <c r="D90" s="188"/>
      <c r="E90" s="75"/>
      <c r="F90" s="257"/>
      <c r="J90" s="75"/>
      <c r="L90" s="415"/>
      <c r="T90" s="415"/>
      <c r="V90" s="415"/>
    </row>
    <row r="91" spans="1:22" ht="15.75" customHeight="1" x14ac:dyDescent="0.25">
      <c r="A91" s="903" t="s">
        <v>356</v>
      </c>
      <c r="B91" s="903"/>
      <c r="C91" s="903"/>
      <c r="D91" s="205"/>
      <c r="E91" s="6"/>
      <c r="F91" s="257"/>
      <c r="J91" s="6"/>
      <c r="L91" s="13"/>
      <c r="T91" s="18"/>
      <c r="V91" s="18"/>
    </row>
    <row r="92" spans="1:22" ht="15" customHeight="1" x14ac:dyDescent="0.25">
      <c r="A92" s="901" t="s">
        <v>525</v>
      </c>
      <c r="B92" s="898"/>
      <c r="C92" s="899"/>
      <c r="D92" s="639"/>
      <c r="E92" s="3">
        <v>0</v>
      </c>
      <c r="F92" s="7">
        <v>0</v>
      </c>
      <c r="G92" s="256"/>
      <c r="H92" s="256"/>
      <c r="J92" s="3">
        <v>0</v>
      </c>
      <c r="L92" s="14">
        <f t="shared" ref="L92:L102" si="16">$E92+$J92</f>
        <v>0</v>
      </c>
      <c r="T92" s="18"/>
      <c r="V92" s="18"/>
    </row>
    <row r="93" spans="1:22" ht="15" customHeight="1" x14ac:dyDescent="0.25">
      <c r="A93" s="901" t="s">
        <v>526</v>
      </c>
      <c r="B93" s="898"/>
      <c r="C93" s="899"/>
      <c r="D93" s="639"/>
      <c r="E93" s="3">
        <v>0</v>
      </c>
      <c r="F93" s="7">
        <v>0</v>
      </c>
      <c r="G93" s="256"/>
      <c r="H93" s="256"/>
      <c r="J93" s="3">
        <v>0</v>
      </c>
      <c r="L93" s="14">
        <f t="shared" si="16"/>
        <v>0</v>
      </c>
      <c r="T93" s="18"/>
      <c r="V93" s="18"/>
    </row>
    <row r="94" spans="1:22" ht="15" customHeight="1" x14ac:dyDescent="0.25">
      <c r="A94" s="901" t="s">
        <v>527</v>
      </c>
      <c r="B94" s="898"/>
      <c r="C94" s="899"/>
      <c r="D94" s="639"/>
      <c r="E94" s="3">
        <v>0</v>
      </c>
      <c r="F94" s="7">
        <v>0</v>
      </c>
      <c r="G94" s="256"/>
      <c r="H94" s="256"/>
      <c r="J94" s="3">
        <v>0</v>
      </c>
      <c r="L94" s="14">
        <f t="shared" si="16"/>
        <v>0</v>
      </c>
      <c r="T94" s="18"/>
      <c r="V94" s="18"/>
    </row>
    <row r="95" spans="1:22" ht="15" customHeight="1" x14ac:dyDescent="0.25">
      <c r="A95" s="901" t="s">
        <v>528</v>
      </c>
      <c r="B95" s="898"/>
      <c r="C95" s="899"/>
      <c r="D95" s="639"/>
      <c r="E95" s="3">
        <v>0</v>
      </c>
      <c r="F95" s="7">
        <v>0</v>
      </c>
      <c r="G95" s="256"/>
      <c r="H95" s="256"/>
      <c r="J95" s="3">
        <v>0</v>
      </c>
      <c r="L95" s="14">
        <f t="shared" si="16"/>
        <v>0</v>
      </c>
      <c r="T95" s="18"/>
      <c r="V95" s="18"/>
    </row>
    <row r="96" spans="1:22" ht="15" customHeight="1" x14ac:dyDescent="0.25">
      <c r="A96" s="901" t="s">
        <v>666</v>
      </c>
      <c r="B96" s="898"/>
      <c r="C96" s="899"/>
      <c r="D96" s="639"/>
      <c r="E96" s="3">
        <v>0</v>
      </c>
      <c r="F96" s="7">
        <v>0</v>
      </c>
      <c r="G96" s="256"/>
      <c r="H96" s="256"/>
      <c r="J96" s="3">
        <v>0</v>
      </c>
      <c r="L96" s="14">
        <f t="shared" si="16"/>
        <v>0</v>
      </c>
      <c r="T96" s="18"/>
      <c r="V96" s="18"/>
    </row>
    <row r="97" spans="1:22" ht="15" customHeight="1" x14ac:dyDescent="0.25">
      <c r="A97" s="901" t="s">
        <v>667</v>
      </c>
      <c r="B97" s="898"/>
      <c r="C97" s="899"/>
      <c r="D97" s="639"/>
      <c r="E97" s="3">
        <v>0</v>
      </c>
      <c r="F97" s="7">
        <v>0</v>
      </c>
      <c r="G97" s="256"/>
      <c r="H97" s="256"/>
      <c r="J97" s="3">
        <v>0</v>
      </c>
      <c r="L97" s="14">
        <f t="shared" si="16"/>
        <v>0</v>
      </c>
      <c r="T97" s="18"/>
      <c r="V97" s="18"/>
    </row>
    <row r="98" spans="1:22" ht="15" customHeight="1" x14ac:dyDescent="0.25">
      <c r="A98" s="901" t="s">
        <v>668</v>
      </c>
      <c r="B98" s="898"/>
      <c r="C98" s="899"/>
      <c r="D98" s="639"/>
      <c r="E98" s="3">
        <v>0</v>
      </c>
      <c r="F98" s="7">
        <v>0</v>
      </c>
      <c r="G98" s="256"/>
      <c r="H98" s="256"/>
      <c r="J98" s="3">
        <v>0</v>
      </c>
      <c r="L98" s="14">
        <f t="shared" si="16"/>
        <v>0</v>
      </c>
      <c r="T98" s="44"/>
      <c r="V98" s="18"/>
    </row>
    <row r="99" spans="1:22" ht="15" customHeight="1" x14ac:dyDescent="0.25">
      <c r="A99" s="901" t="s">
        <v>357</v>
      </c>
      <c r="B99" s="898"/>
      <c r="C99" s="899"/>
      <c r="D99" s="639"/>
      <c r="E99" s="3">
        <v>0</v>
      </c>
      <c r="F99" s="7">
        <v>0</v>
      </c>
      <c r="G99" s="256"/>
      <c r="H99" s="256"/>
      <c r="J99" s="3">
        <v>0</v>
      </c>
      <c r="L99" s="14">
        <f t="shared" si="16"/>
        <v>0</v>
      </c>
      <c r="T99" s="18"/>
      <c r="V99" s="18"/>
    </row>
    <row r="100" spans="1:22" ht="15" customHeight="1" x14ac:dyDescent="0.25">
      <c r="A100" s="894"/>
      <c r="B100" s="895"/>
      <c r="C100" s="896"/>
      <c r="D100" s="639"/>
      <c r="E100" s="3">
        <v>0</v>
      </c>
      <c r="F100" s="7">
        <v>0</v>
      </c>
      <c r="G100" s="256"/>
      <c r="H100" s="256"/>
      <c r="J100" s="3">
        <v>0</v>
      </c>
      <c r="L100" s="14">
        <f t="shared" si="16"/>
        <v>0</v>
      </c>
      <c r="T100" s="18"/>
      <c r="V100" s="18"/>
    </row>
    <row r="101" spans="1:22" ht="15" customHeight="1" x14ac:dyDescent="0.25">
      <c r="A101" s="894"/>
      <c r="B101" s="895"/>
      <c r="C101" s="896"/>
      <c r="D101" s="639"/>
      <c r="E101" s="3">
        <v>0</v>
      </c>
      <c r="F101" s="7">
        <v>0</v>
      </c>
      <c r="G101" s="256"/>
      <c r="H101" s="256"/>
      <c r="J101" s="3">
        <v>0</v>
      </c>
      <c r="L101" s="14">
        <f t="shared" si="16"/>
        <v>0</v>
      </c>
      <c r="T101" s="18"/>
      <c r="V101" s="18"/>
    </row>
    <row r="102" spans="1:22" ht="15" customHeight="1" x14ac:dyDescent="0.25">
      <c r="A102" s="894"/>
      <c r="B102" s="895"/>
      <c r="C102" s="896"/>
      <c r="D102" s="639"/>
      <c r="E102" s="3">
        <v>0</v>
      </c>
      <c r="F102" s="7">
        <v>0</v>
      </c>
      <c r="G102" s="256"/>
      <c r="H102" s="256"/>
      <c r="J102" s="3">
        <v>0</v>
      </c>
      <c r="L102" s="14">
        <f t="shared" si="16"/>
        <v>0</v>
      </c>
      <c r="T102" s="44"/>
      <c r="V102" s="18"/>
    </row>
    <row r="103" spans="1:22" x14ac:dyDescent="0.25">
      <c r="A103" s="908" t="s">
        <v>358</v>
      </c>
      <c r="B103" s="909"/>
      <c r="C103" s="909"/>
      <c r="D103" s="910"/>
      <c r="E103" s="31">
        <f>SUM($E$92:$E$102)</f>
        <v>0</v>
      </c>
      <c r="F103" s="19"/>
      <c r="G103" s="256"/>
      <c r="H103" s="256"/>
      <c r="J103" s="31">
        <f>SUM($J$92:$J$102)</f>
        <v>0</v>
      </c>
      <c r="L103" s="21">
        <f>SUM($L$92:$L$102)</f>
        <v>0</v>
      </c>
      <c r="T103" s="44"/>
      <c r="V103" s="44"/>
    </row>
    <row r="104" spans="1:22" ht="9.9499999999999993" customHeight="1" x14ac:dyDescent="0.25">
      <c r="A104" s="271"/>
      <c r="B104" s="188"/>
      <c r="C104" s="188"/>
      <c r="D104" s="188"/>
      <c r="E104" s="75"/>
      <c r="F104" s="257"/>
      <c r="J104" s="75"/>
      <c r="L104" s="415"/>
      <c r="T104" s="18"/>
      <c r="V104" s="18"/>
    </row>
    <row r="105" spans="1:22" ht="15" customHeight="1" x14ac:dyDescent="0.25">
      <c r="A105" s="903" t="s">
        <v>1077</v>
      </c>
      <c r="B105" s="903"/>
      <c r="C105" s="903"/>
      <c r="D105" s="205"/>
      <c r="E105" s="6"/>
      <c r="F105" s="257"/>
      <c r="J105" s="6"/>
      <c r="L105" s="13"/>
      <c r="N105" s="926" t="s">
        <v>1114</v>
      </c>
      <c r="O105" s="926"/>
      <c r="P105" s="29"/>
      <c r="T105" s="18"/>
      <c r="V105" s="18"/>
    </row>
    <row r="106" spans="1:22" ht="15" customHeight="1" x14ac:dyDescent="0.25">
      <c r="A106" s="901" t="s">
        <v>360</v>
      </c>
      <c r="B106" s="898"/>
      <c r="C106" s="899"/>
      <c r="D106" s="639"/>
      <c r="E106" s="3">
        <v>0</v>
      </c>
      <c r="F106" s="7">
        <f t="shared" ref="F106:F110" si="17">IFERROR(($G106+$H106)/$E106,1)</f>
        <v>1</v>
      </c>
      <c r="G106" s="414">
        <v>0</v>
      </c>
      <c r="H106" s="414">
        <v>0</v>
      </c>
      <c r="J106" s="3">
        <v>0</v>
      </c>
      <c r="L106" s="14">
        <f t="shared" ref="L106:L110" si="18">$E106+$J106</f>
        <v>0</v>
      </c>
      <c r="N106" s="893" t="s">
        <v>1074</v>
      </c>
      <c r="O106" s="893"/>
      <c r="P106" s="237"/>
      <c r="Q106" s="319"/>
      <c r="T106" s="18"/>
      <c r="V106" s="18"/>
    </row>
    <row r="107" spans="1:22" ht="15" customHeight="1" x14ac:dyDescent="0.25">
      <c r="A107" s="897" t="s">
        <v>361</v>
      </c>
      <c r="B107" s="898"/>
      <c r="C107" s="899"/>
      <c r="D107" s="639"/>
      <c r="E107" s="3">
        <v>0</v>
      </c>
      <c r="F107" s="7">
        <f t="shared" si="17"/>
        <v>1</v>
      </c>
      <c r="G107" s="414">
        <v>0</v>
      </c>
      <c r="H107" s="414">
        <v>0</v>
      </c>
      <c r="J107" s="3">
        <v>0</v>
      </c>
      <c r="L107" s="14">
        <f t="shared" si="18"/>
        <v>0</v>
      </c>
      <c r="N107" s="606" t="s">
        <v>1075</v>
      </c>
      <c r="O107" s="604" t="str">
        <f>IF(OR('Project Summary'!$C$19="",'Project Summary'!$C$19="No"),"",IF(AND(OR('Project Summary'!$C$22="",'Project Summary'!$C$22="No"),OR($P$105="",$P$105="No")),'Project Summary'!$S$146,IF(AND(OR('Project Summary'!$C$22="",'Project Summary'!$C$22="No"),$P$105="Yes"),'Project Summary'!$S$147, IF(AND('Project Summary'!$C$22="Yes",OR($P$105="",$P$105="No")),'Project Summary'!$S$148,'Project Summary'!$S$149))))</f>
        <v/>
      </c>
      <c r="T107" s="18"/>
      <c r="V107" s="18"/>
    </row>
    <row r="108" spans="1:22" ht="15" customHeight="1" x14ac:dyDescent="0.25">
      <c r="A108" s="897" t="s">
        <v>362</v>
      </c>
      <c r="B108" s="898"/>
      <c r="C108" s="899"/>
      <c r="D108" s="639"/>
      <c r="E108" s="3">
        <v>0</v>
      </c>
      <c r="F108" s="7">
        <f t="shared" si="17"/>
        <v>1</v>
      </c>
      <c r="G108" s="414">
        <v>0</v>
      </c>
      <c r="H108" s="414">
        <v>0</v>
      </c>
      <c r="J108" s="3">
        <v>0</v>
      </c>
      <c r="L108" s="14">
        <f t="shared" si="18"/>
        <v>0</v>
      </c>
      <c r="N108" s="606" t="s">
        <v>1112</v>
      </c>
      <c r="O108" s="607" t="str">
        <f>IF($O$107="","",ROUNDDOWN((SUM($G$121:$H$121)-SUM($G$111:$H$111))*$O$107,0))</f>
        <v/>
      </c>
      <c r="Q108" s="608"/>
      <c r="T108" s="18"/>
      <c r="V108" s="18"/>
    </row>
    <row r="109" spans="1:22" ht="15" customHeight="1" x14ac:dyDescent="0.25">
      <c r="A109" s="894"/>
      <c r="B109" s="895"/>
      <c r="C109" s="896"/>
      <c r="D109" s="639"/>
      <c r="E109" s="3">
        <v>0</v>
      </c>
      <c r="F109" s="7">
        <f t="shared" si="17"/>
        <v>1</v>
      </c>
      <c r="G109" s="414">
        <v>0</v>
      </c>
      <c r="H109" s="414">
        <v>0</v>
      </c>
      <c r="J109" s="3">
        <v>0</v>
      </c>
      <c r="L109" s="14">
        <f t="shared" si="18"/>
        <v>0</v>
      </c>
      <c r="N109" s="606" t="s">
        <v>1120</v>
      </c>
      <c r="O109" s="604" t="str">
        <f>IF($O$107="","",IF($H$112&gt;='Project Summary'!$R$152,'Project Summary'!$S$152,IF($H$112&gt;='Project Summary'!$R$151,'Project Summary'!$S$151,'Project Summary'!$S$151)))</f>
        <v/>
      </c>
      <c r="T109" s="18"/>
      <c r="V109" s="18"/>
    </row>
    <row r="110" spans="1:22" ht="15" customHeight="1" x14ac:dyDescent="0.25">
      <c r="A110" s="894"/>
      <c r="B110" s="895"/>
      <c r="C110" s="896"/>
      <c r="D110" s="639"/>
      <c r="E110" s="3">
        <v>0</v>
      </c>
      <c r="F110" s="7">
        <f t="shared" si="17"/>
        <v>1</v>
      </c>
      <c r="G110" s="414">
        <v>0</v>
      </c>
      <c r="H110" s="414">
        <v>0</v>
      </c>
      <c r="J110" s="3">
        <v>0</v>
      </c>
      <c r="L110" s="14">
        <f t="shared" si="18"/>
        <v>0</v>
      </c>
      <c r="N110" s="606" t="s">
        <v>1119</v>
      </c>
      <c r="O110" s="607" t="str">
        <f>IF($O$107="","",ROUNDDOWN((SUM($G$121:$H$121)-SUM($G$111:$H$111))*$O$109,0))</f>
        <v/>
      </c>
      <c r="T110" s="18"/>
      <c r="V110" s="18"/>
    </row>
    <row r="111" spans="1:22" ht="15" customHeight="1" x14ac:dyDescent="0.25">
      <c r="A111" s="908" t="s">
        <v>363</v>
      </c>
      <c r="B111" s="909"/>
      <c r="C111" s="909"/>
      <c r="D111" s="910"/>
      <c r="E111" s="45">
        <f>SUM($E$106:$E$110)</f>
        <v>0</v>
      </c>
      <c r="F111" s="19"/>
      <c r="G111" s="31">
        <f>SUM($G$106:$G$110)</f>
        <v>0</v>
      </c>
      <c r="H111" s="31">
        <f>SUM($H$106:$H$110)</f>
        <v>0</v>
      </c>
      <c r="J111" s="31">
        <f>SUM($J$106:$J$110)</f>
        <v>0</v>
      </c>
      <c r="L111" s="21">
        <f>SUM($L$106:$L$110)</f>
        <v>0</v>
      </c>
      <c r="N111" s="606" t="s">
        <v>1113</v>
      </c>
      <c r="O111" s="607" t="str">
        <f>IF($O$107="","",MAX((ROUNDDOWN((SUM($G$121:$H$121)-SUM($G$111:$H$111))*$O$109,0)-G111)*-1,0))</f>
        <v/>
      </c>
      <c r="T111" s="44"/>
      <c r="V111" s="18"/>
    </row>
    <row r="112" spans="1:22" ht="15" customHeight="1" x14ac:dyDescent="0.25">
      <c r="A112" s="271"/>
      <c r="B112" s="188"/>
      <c r="E112" s="602">
        <f>IF(E111=0,0,E111/(E121-E111))</f>
        <v>0</v>
      </c>
      <c r="F112" s="75"/>
      <c r="G112" s="603"/>
      <c r="H112" s="602">
        <f>IFERROR(SUM($G$111:$H$111)/(SUM($G$121:$H$121)-SUM($G$111:$H$111)),0)</f>
        <v>0</v>
      </c>
      <c r="J112" s="75"/>
      <c r="L112" s="415"/>
      <c r="T112" s="18"/>
      <c r="V112" s="18"/>
    </row>
    <row r="113" spans="1:24" ht="19.5" thickBot="1" x14ac:dyDescent="0.35">
      <c r="A113" s="903" t="s">
        <v>364</v>
      </c>
      <c r="B113" s="903"/>
      <c r="C113" s="903"/>
      <c r="D113" s="205"/>
      <c r="E113" s="6"/>
      <c r="F113" s="257"/>
      <c r="J113" s="6"/>
      <c r="L113" s="13"/>
      <c r="T113" s="47"/>
      <c r="V113" s="48"/>
    </row>
    <row r="114" spans="1:24" x14ac:dyDescent="0.25">
      <c r="A114" s="897" t="s">
        <v>365</v>
      </c>
      <c r="B114" s="898"/>
      <c r="C114" s="899"/>
      <c r="D114" s="639"/>
      <c r="E114" s="3">
        <v>0</v>
      </c>
      <c r="F114" s="7">
        <v>0</v>
      </c>
      <c r="G114" s="256"/>
      <c r="H114" s="256"/>
      <c r="J114" s="3">
        <v>0</v>
      </c>
      <c r="L114" s="14">
        <f t="shared" ref="L114:L118" si="19">$E114+$J114</f>
        <v>0</v>
      </c>
      <c r="N114" s="267" t="s">
        <v>370</v>
      </c>
      <c r="O114" s="268" t="s">
        <v>371</v>
      </c>
      <c r="P114" s="269">
        <f ca="1">IFERROR(E121/'Operating Budget'!$E$48,0)</f>
        <v>0</v>
      </c>
    </row>
    <row r="115" spans="1:24" ht="15" customHeight="1" x14ac:dyDescent="0.25">
      <c r="A115" s="901" t="s">
        <v>366</v>
      </c>
      <c r="B115" s="898"/>
      <c r="C115" s="899"/>
      <c r="D115" s="639"/>
      <c r="E115" s="3">
        <v>0</v>
      </c>
      <c r="F115" s="7">
        <v>0</v>
      </c>
      <c r="G115" s="256"/>
      <c r="H115" s="256"/>
      <c r="J115" s="3">
        <v>0</v>
      </c>
      <c r="L115" s="14">
        <f t="shared" si="19"/>
        <v>0</v>
      </c>
      <c r="N115" s="270"/>
      <c r="O115" s="271" t="s">
        <v>383</v>
      </c>
      <c r="P115" s="272">
        <f>IFERROR(E121/('Project SqFt'!$Y$14-'Project SqFt'!$Y$8),0)</f>
        <v>0</v>
      </c>
    </row>
    <row r="116" spans="1:24" ht="15" customHeight="1" thickBot="1" x14ac:dyDescent="0.3">
      <c r="A116" s="897" t="s">
        <v>367</v>
      </c>
      <c r="B116" s="898"/>
      <c r="C116" s="899"/>
      <c r="D116" s="639"/>
      <c r="E116" s="10">
        <v>0</v>
      </c>
      <c r="F116" s="7">
        <v>0</v>
      </c>
      <c r="G116" s="256"/>
      <c r="H116" s="256"/>
      <c r="J116" s="10">
        <v>0</v>
      </c>
      <c r="L116" s="14">
        <f t="shared" si="19"/>
        <v>0</v>
      </c>
      <c r="N116" s="273"/>
      <c r="O116" s="274" t="s">
        <v>373</v>
      </c>
      <c r="P116" s="275">
        <f>IFERROR(E121/SUM('Project SqFt'!$D$88,'Project SqFt'!$L$88,'Project SqFt'!$T$88),0)</f>
        <v>0</v>
      </c>
    </row>
    <row r="117" spans="1:24" s="143" customFormat="1" ht="15" customHeight="1" x14ac:dyDescent="0.25">
      <c r="A117" s="894"/>
      <c r="B117" s="895"/>
      <c r="C117" s="900"/>
      <c r="D117" s="639"/>
      <c r="E117" s="3">
        <v>0</v>
      </c>
      <c r="F117" s="7">
        <v>0</v>
      </c>
      <c r="G117" s="256"/>
      <c r="H117" s="256"/>
      <c r="I117"/>
      <c r="J117" s="3">
        <v>0</v>
      </c>
      <c r="K117"/>
      <c r="L117" s="14">
        <f t="shared" si="19"/>
        <v>0</v>
      </c>
      <c r="N117" s="270" t="s">
        <v>374</v>
      </c>
      <c r="O117" s="271" t="s">
        <v>371</v>
      </c>
      <c r="P117" s="272">
        <f ca="1">IFERROR((E18+E35-E30)/'Operating Budget'!$E$48,0)</f>
        <v>0</v>
      </c>
      <c r="V117" s="244"/>
      <c r="X117" s="244"/>
    </row>
    <row r="118" spans="1:24" ht="15" customHeight="1" x14ac:dyDescent="0.25">
      <c r="A118" s="894"/>
      <c r="B118" s="895"/>
      <c r="C118" s="900"/>
      <c r="D118" s="639"/>
      <c r="E118" s="3">
        <v>0</v>
      </c>
      <c r="F118" s="7">
        <v>0</v>
      </c>
      <c r="G118" s="256"/>
      <c r="H118" s="256"/>
      <c r="J118" s="3">
        <v>0</v>
      </c>
      <c r="L118" s="14">
        <f t="shared" si="19"/>
        <v>0</v>
      </c>
      <c r="N118" s="270"/>
      <c r="O118" s="271" t="s">
        <v>383</v>
      </c>
      <c r="P118" s="272">
        <f>IFERROR((E18+E35-E30)/('Project SqFt'!$Y$14-'Project SqFt'!$Y$8),0)</f>
        <v>0</v>
      </c>
      <c r="V118" s="2"/>
      <c r="W118" s="251"/>
      <c r="X118" s="2"/>
    </row>
    <row r="119" spans="1:24" ht="15" customHeight="1" thickBot="1" x14ac:dyDescent="0.3">
      <c r="A119" s="908" t="s">
        <v>368</v>
      </c>
      <c r="B119" s="909"/>
      <c r="C119" s="909"/>
      <c r="D119" s="910"/>
      <c r="E119" s="31">
        <f>SUM($E$114:$E$118)</f>
        <v>0</v>
      </c>
      <c r="F119" s="19"/>
      <c r="G119" s="256"/>
      <c r="H119" s="256"/>
      <c r="J119" s="31">
        <f>SUM($J$114:$J$118)</f>
        <v>0</v>
      </c>
      <c r="L119" s="31">
        <f>SUM($L$114:$L$118)</f>
        <v>0</v>
      </c>
      <c r="N119" s="273"/>
      <c r="O119" s="274" t="s">
        <v>373</v>
      </c>
      <c r="P119" s="276">
        <f>IFERROR((E18+E35-E30)/SUM('Project SqFt'!$D$88,'Project SqFt'!$L$88,'Project SqFt'!$T$88),0)</f>
        <v>0</v>
      </c>
      <c r="V119" s="2"/>
      <c r="W119" s="251"/>
      <c r="X119" s="2"/>
    </row>
    <row r="120" spans="1:24" ht="9.9499999999999993" customHeight="1" thickBot="1" x14ac:dyDescent="0.3">
      <c r="E120" s="6"/>
      <c r="F120" s="257"/>
      <c r="J120" s="6"/>
      <c r="L120" s="6"/>
      <c r="V120" s="2"/>
      <c r="W120" s="251"/>
      <c r="X120" s="2"/>
    </row>
    <row r="121" spans="1:24" ht="18.75" x14ac:dyDescent="0.3">
      <c r="A121" s="923" t="s">
        <v>369</v>
      </c>
      <c r="B121" s="924"/>
      <c r="C121" s="924"/>
      <c r="D121" s="925"/>
      <c r="E121" s="46">
        <f>SUM($E$11,$E$18,$E$35,$E$46,$E$63,$E$76,$E$89,$E$103,$E$111,$E$119)</f>
        <v>0</v>
      </c>
      <c r="F121" s="19"/>
      <c r="G121" s="46">
        <f>SUM($G$11,$G$18,$G$35,$G$46,$G$63,$G$89,$G$111)</f>
        <v>0</v>
      </c>
      <c r="H121" s="46">
        <f>SUM($H$11,$H$18,$H$35,$H$46,$H$63,$H$89,$H$111)</f>
        <v>0</v>
      </c>
      <c r="J121" s="46">
        <f>SUM($J$11,$J$18,$J$35,$J$46,$J$63,$J$76,$J$89,$J$103,$J$111,$J$119)</f>
        <v>0</v>
      </c>
      <c r="L121" s="46">
        <f>SUM($L$11,$L$18,$L$35,$L$46,$L$63,$L$76,$L$89,$L$103,$L$111,$L$119)</f>
        <v>0</v>
      </c>
      <c r="N121" s="609" t="s">
        <v>372</v>
      </c>
      <c r="O121" s="268" t="s">
        <v>371</v>
      </c>
      <c r="P121" s="269">
        <f ca="1">IFERROR((G121+H121)/'Operating Budget'!$E$48,0)</f>
        <v>0</v>
      </c>
      <c r="V121" s="2"/>
      <c r="W121" s="251"/>
      <c r="X121" s="2"/>
    </row>
    <row r="122" spans="1:24" ht="12.75" customHeight="1" x14ac:dyDescent="0.25">
      <c r="N122" s="610"/>
      <c r="O122" s="271" t="s">
        <v>383</v>
      </c>
      <c r="P122" s="272">
        <f>IFERROR((G121+H121)/('Project SqFt'!$Y$14-'Project SqFt'!$Y$8),0)</f>
        <v>0</v>
      </c>
      <c r="V122" s="2"/>
      <c r="W122" s="251"/>
      <c r="X122" s="2"/>
    </row>
    <row r="123" spans="1:24" ht="15.75" thickBot="1" x14ac:dyDescent="0.3">
      <c r="A123" s="534" t="s">
        <v>1026</v>
      </c>
      <c r="N123" s="273"/>
      <c r="O123" s="274" t="s">
        <v>373</v>
      </c>
      <c r="P123" s="275">
        <f>IFERROR((G121+H121)/SUM('Project SqFt'!$D$88,'Project SqFt'!$L$88,'Project SqFt'!$T$88),0)</f>
        <v>0</v>
      </c>
      <c r="V123" s="2"/>
      <c r="W123" s="251"/>
      <c r="X123" s="2"/>
    </row>
    <row r="124" spans="1:24" x14ac:dyDescent="0.25">
      <c r="A124" s="616">
        <v>1</v>
      </c>
      <c r="B124" s="921"/>
      <c r="C124" s="921"/>
      <c r="D124" s="921"/>
      <c r="E124" s="921"/>
      <c r="F124" s="921"/>
      <c r="G124" s="921"/>
      <c r="H124" s="921"/>
      <c r="I124" s="921"/>
      <c r="J124" s="921"/>
      <c r="K124" s="921"/>
      <c r="L124" s="921"/>
      <c r="N124" s="609" t="s">
        <v>375</v>
      </c>
      <c r="O124" s="268" t="s">
        <v>376</v>
      </c>
      <c r="P124" s="611">
        <f>IFERROR(E11/E121,0)</f>
        <v>0</v>
      </c>
      <c r="V124" s="2"/>
      <c r="W124" s="251"/>
      <c r="X124" s="2"/>
    </row>
    <row r="125" spans="1:24" x14ac:dyDescent="0.25">
      <c r="A125" s="616"/>
      <c r="B125" s="921"/>
      <c r="C125" s="921"/>
      <c r="D125" s="921"/>
      <c r="E125" s="921"/>
      <c r="F125" s="921"/>
      <c r="G125" s="921"/>
      <c r="H125" s="921"/>
      <c r="I125" s="921"/>
      <c r="J125" s="921"/>
      <c r="K125" s="921"/>
      <c r="L125" s="921"/>
      <c r="N125" s="610"/>
      <c r="O125" s="271" t="s">
        <v>377</v>
      </c>
      <c r="P125" s="76">
        <f>IFERROR((E18+E35-E30)/E121,0)</f>
        <v>0</v>
      </c>
      <c r="V125" s="2"/>
      <c r="X125" s="2"/>
    </row>
    <row r="126" spans="1:24" ht="15.75" thickBot="1" x14ac:dyDescent="0.3">
      <c r="A126" s="617"/>
      <c r="B126" s="921"/>
      <c r="C126" s="921"/>
      <c r="D126" s="921"/>
      <c r="E126" s="921"/>
      <c r="F126" s="921"/>
      <c r="G126" s="921"/>
      <c r="H126" s="921"/>
      <c r="I126" s="921"/>
      <c r="J126" s="921"/>
      <c r="K126" s="921"/>
      <c r="L126" s="921"/>
      <c r="N126" s="612"/>
      <c r="O126" s="274" t="s">
        <v>378</v>
      </c>
      <c r="P126" s="77">
        <f>IFERROR((G121+H121)/E121,0)</f>
        <v>0</v>
      </c>
      <c r="V126" s="2"/>
      <c r="X126" s="2"/>
    </row>
    <row r="127" spans="1:24" x14ac:dyDescent="0.25">
      <c r="A127" s="617"/>
      <c r="B127" s="921"/>
      <c r="C127" s="921"/>
      <c r="D127" s="921"/>
      <c r="E127" s="921"/>
      <c r="F127" s="921"/>
      <c r="G127" s="921"/>
      <c r="H127" s="921"/>
      <c r="I127" s="921"/>
      <c r="J127" s="921"/>
      <c r="K127" s="921"/>
      <c r="L127" s="921"/>
      <c r="V127" s="2"/>
      <c r="X127" s="2"/>
    </row>
    <row r="128" spans="1:24" x14ac:dyDescent="0.25">
      <c r="A128" s="617"/>
      <c r="B128" s="921"/>
      <c r="C128" s="921"/>
      <c r="D128" s="921"/>
      <c r="E128" s="921"/>
      <c r="F128" s="921"/>
      <c r="G128" s="921"/>
      <c r="H128" s="921"/>
      <c r="I128" s="921"/>
      <c r="J128" s="921"/>
      <c r="K128" s="921"/>
      <c r="L128" s="921"/>
      <c r="V128" s="2"/>
      <c r="X128" s="2"/>
    </row>
    <row r="129" spans="1:24" x14ac:dyDescent="0.25">
      <c r="A129" s="617"/>
      <c r="B129" s="921"/>
      <c r="C129" s="921"/>
      <c r="D129" s="921"/>
      <c r="E129" s="921"/>
      <c r="F129" s="921"/>
      <c r="G129" s="921"/>
      <c r="H129" s="921"/>
      <c r="I129" s="921"/>
      <c r="J129" s="921"/>
      <c r="K129" s="921"/>
      <c r="L129" s="921"/>
      <c r="V129" s="49"/>
      <c r="X129" s="49"/>
    </row>
    <row r="130" spans="1:24" x14ac:dyDescent="0.25">
      <c r="A130" s="617"/>
      <c r="B130" s="921"/>
      <c r="C130" s="921"/>
      <c r="D130" s="921"/>
      <c r="E130" s="921"/>
      <c r="F130" s="921"/>
      <c r="G130" s="921"/>
      <c r="H130" s="921"/>
      <c r="I130" s="921"/>
      <c r="J130" s="921"/>
      <c r="K130" s="921"/>
      <c r="L130" s="921"/>
    </row>
    <row r="131" spans="1:24" ht="15.75" x14ac:dyDescent="0.25">
      <c r="A131" s="617"/>
      <c r="B131" s="921"/>
      <c r="C131" s="921"/>
      <c r="D131" s="921"/>
      <c r="E131" s="921"/>
      <c r="F131" s="921"/>
      <c r="G131" s="921"/>
      <c r="H131" s="921"/>
      <c r="I131" s="921"/>
      <c r="J131" s="921"/>
      <c r="K131" s="921"/>
      <c r="L131" s="921"/>
      <c r="V131" s="244"/>
      <c r="X131" s="244"/>
    </row>
    <row r="132" spans="1:24" ht="21" x14ac:dyDescent="0.35">
      <c r="A132" s="927" t="s">
        <v>1081</v>
      </c>
      <c r="B132" s="927"/>
      <c r="C132" s="619"/>
      <c r="D132" s="619"/>
      <c r="E132" s="619"/>
      <c r="F132" s="619"/>
      <c r="G132" s="619"/>
      <c r="H132" s="619"/>
      <c r="I132" s="619"/>
      <c r="J132" s="619"/>
      <c r="K132" s="619"/>
      <c r="L132" s="619"/>
      <c r="V132" s="2"/>
      <c r="X132" s="2"/>
    </row>
    <row r="133" spans="1:24" x14ac:dyDescent="0.25">
      <c r="A133" s="928" t="s">
        <v>763</v>
      </c>
      <c r="B133" s="928"/>
      <c r="C133" s="928"/>
      <c r="D133" s="928"/>
      <c r="E133" s="928"/>
      <c r="F133" s="928"/>
      <c r="G133" s="928"/>
      <c r="H133" s="928"/>
      <c r="I133" s="928"/>
      <c r="J133" s="928"/>
      <c r="K133" s="928"/>
      <c r="L133" s="928"/>
      <c r="V133" s="2"/>
      <c r="X133" s="2"/>
    </row>
    <row r="134" spans="1:24" x14ac:dyDescent="0.25">
      <c r="A134" s="928"/>
      <c r="B134" s="928"/>
      <c r="C134" s="928"/>
      <c r="D134" s="928"/>
      <c r="E134" s="928"/>
      <c r="F134" s="928"/>
      <c r="G134" s="928"/>
      <c r="H134" s="928"/>
      <c r="I134" s="928"/>
      <c r="J134" s="928"/>
      <c r="K134" s="928"/>
      <c r="L134" s="928"/>
      <c r="V134" s="2"/>
      <c r="X134" s="2"/>
    </row>
    <row r="135" spans="1:24" ht="15.95" customHeight="1" x14ac:dyDescent="0.25">
      <c r="V135" s="2"/>
      <c r="X135" s="2"/>
    </row>
    <row r="136" spans="1:24" ht="15.95" customHeight="1" x14ac:dyDescent="0.25">
      <c r="V136" s="2"/>
      <c r="X136" s="2"/>
    </row>
    <row r="137" spans="1:24" x14ac:dyDescent="0.25">
      <c r="V137" s="2"/>
      <c r="X137" s="2"/>
    </row>
    <row r="138" spans="1:24" ht="16.5" thickBot="1" x14ac:dyDescent="0.3">
      <c r="A138" s="226"/>
      <c r="B138" s="226"/>
      <c r="C138" s="226"/>
      <c r="D138" s="226"/>
      <c r="E138" s="226"/>
      <c r="F138" s="618"/>
      <c r="G138" s="930"/>
      <c r="H138" s="930"/>
      <c r="V138" s="2"/>
      <c r="X138" s="2"/>
    </row>
    <row r="139" spans="1:24" ht="21" x14ac:dyDescent="0.35">
      <c r="A139" s="615" t="s">
        <v>877</v>
      </c>
      <c r="G139" s="929" t="s">
        <v>764</v>
      </c>
      <c r="H139" s="929"/>
      <c r="V139" s="2"/>
      <c r="X139" s="2"/>
    </row>
    <row r="140" spans="1:24" x14ac:dyDescent="0.25">
      <c r="V140" s="2"/>
      <c r="X140" s="2"/>
    </row>
    <row r="141" spans="1:24" x14ac:dyDescent="0.25">
      <c r="V141" s="2"/>
      <c r="X141" s="2"/>
    </row>
    <row r="142" spans="1:24" x14ac:dyDescent="0.25">
      <c r="V142" s="2"/>
      <c r="X142" s="2"/>
    </row>
    <row r="143" spans="1:24" x14ac:dyDescent="0.25">
      <c r="V143" s="2"/>
      <c r="X143" s="2"/>
    </row>
    <row r="144" spans="1:24" x14ac:dyDescent="0.25">
      <c r="V144" s="49"/>
      <c r="X144" s="49"/>
    </row>
    <row r="145" spans="22:24" x14ac:dyDescent="0.25">
      <c r="V145" s="49"/>
      <c r="X145" s="49"/>
    </row>
    <row r="146" spans="22:24" ht="18.75" x14ac:dyDescent="0.3">
      <c r="V146" s="250"/>
      <c r="X146" s="250"/>
    </row>
    <row r="147" spans="22:24" ht="18.75" x14ac:dyDescent="0.3">
      <c r="V147" s="250"/>
      <c r="X147" s="250"/>
    </row>
    <row r="150" spans="22:24" ht="12.75" customHeight="1" x14ac:dyDescent="0.25"/>
  </sheetData>
  <sheetProtection algorithmName="SHA-512" hashValue="VFoxK+kGAYtOr4znewMLwnLz/pQuJYTBkycG0lo13mgWE5GbHZEXAdXcCjB/bNRcTVMjYbSCei3PMQW6oDVVVg==" saltValue="i8piF8G4cHXGEKsOabj6nA==" spinCount="100000" sheet="1" objects="1" scenarios="1"/>
  <mergeCells count="126">
    <mergeCell ref="N105:O105"/>
    <mergeCell ref="B130:L130"/>
    <mergeCell ref="B131:L131"/>
    <mergeCell ref="A132:B132"/>
    <mergeCell ref="A133:L134"/>
    <mergeCell ref="G139:H139"/>
    <mergeCell ref="G138:H138"/>
    <mergeCell ref="A18:D18"/>
    <mergeCell ref="A11:D11"/>
    <mergeCell ref="N106:O106"/>
    <mergeCell ref="A56:C56"/>
    <mergeCell ref="A57:C57"/>
    <mergeCell ref="A58:C58"/>
    <mergeCell ref="A59:C59"/>
    <mergeCell ref="A60:C60"/>
    <mergeCell ref="A61:C61"/>
    <mergeCell ref="A49:C49"/>
    <mergeCell ref="A50:C50"/>
    <mergeCell ref="A51:C51"/>
    <mergeCell ref="A52:C52"/>
    <mergeCell ref="A53:C53"/>
    <mergeCell ref="A55:C55"/>
    <mergeCell ref="A69:C69"/>
    <mergeCell ref="A70:C70"/>
    <mergeCell ref="B125:L125"/>
    <mergeCell ref="B126:L126"/>
    <mergeCell ref="B127:L127"/>
    <mergeCell ref="B128:L128"/>
    <mergeCell ref="B129:L129"/>
    <mergeCell ref="B124:L124"/>
    <mergeCell ref="A29:C29"/>
    <mergeCell ref="A30:C30"/>
    <mergeCell ref="A31:C31"/>
    <mergeCell ref="A32:C32"/>
    <mergeCell ref="A33:C33"/>
    <mergeCell ref="A34:C34"/>
    <mergeCell ref="A121:D121"/>
    <mergeCell ref="A119:D119"/>
    <mergeCell ref="A111:D111"/>
    <mergeCell ref="A103:D103"/>
    <mergeCell ref="A89:D89"/>
    <mergeCell ref="A76:D76"/>
    <mergeCell ref="A63:D63"/>
    <mergeCell ref="A46:D46"/>
    <mergeCell ref="A71:C71"/>
    <mergeCell ref="A66:C66"/>
    <mergeCell ref="A67:C67"/>
    <mergeCell ref="A68:C68"/>
    <mergeCell ref="A54:C54"/>
    <mergeCell ref="K2:L2"/>
    <mergeCell ref="A3:L3"/>
    <mergeCell ref="E5:H5"/>
    <mergeCell ref="A14:C14"/>
    <mergeCell ref="A15:C15"/>
    <mergeCell ref="A16:C16"/>
    <mergeCell ref="A17:C17"/>
    <mergeCell ref="B2:I2"/>
    <mergeCell ref="A20:C20"/>
    <mergeCell ref="A7:C7"/>
    <mergeCell ref="A8:C8"/>
    <mergeCell ref="A9:C9"/>
    <mergeCell ref="A10:C10"/>
    <mergeCell ref="A13:C13"/>
    <mergeCell ref="D5:D6"/>
    <mergeCell ref="A21:C21"/>
    <mergeCell ref="A22:C22"/>
    <mergeCell ref="A23:C23"/>
    <mergeCell ref="A99:C99"/>
    <mergeCell ref="A95:C95"/>
    <mergeCell ref="A96:C96"/>
    <mergeCell ref="A97:C97"/>
    <mergeCell ref="A98:C98"/>
    <mergeCell ref="A94:C94"/>
    <mergeCell ref="A85:C85"/>
    <mergeCell ref="A24:B24"/>
    <mergeCell ref="A27:B27"/>
    <mergeCell ref="A28:C28"/>
    <mergeCell ref="A42:C42"/>
    <mergeCell ref="A43:C43"/>
    <mergeCell ref="A44:C44"/>
    <mergeCell ref="A45:C45"/>
    <mergeCell ref="A48:C48"/>
    <mergeCell ref="A37:C37"/>
    <mergeCell ref="A38:C38"/>
    <mergeCell ref="A39:C39"/>
    <mergeCell ref="A40:C40"/>
    <mergeCell ref="A41:C41"/>
    <mergeCell ref="A35:D35"/>
    <mergeCell ref="A74:C74"/>
    <mergeCell ref="A62:C62"/>
    <mergeCell ref="A65:C65"/>
    <mergeCell ref="A82:C82"/>
    <mergeCell ref="A83:C83"/>
    <mergeCell ref="A84:C84"/>
    <mergeCell ref="A86:C86"/>
    <mergeCell ref="A87:C87"/>
    <mergeCell ref="A88:C88"/>
    <mergeCell ref="A75:C75"/>
    <mergeCell ref="A78:C78"/>
    <mergeCell ref="A79:C79"/>
    <mergeCell ref="A80:C80"/>
    <mergeCell ref="A81:C81"/>
    <mergeCell ref="N7:O7"/>
    <mergeCell ref="A109:C109"/>
    <mergeCell ref="A1:L1"/>
    <mergeCell ref="A116:C116"/>
    <mergeCell ref="A117:C117"/>
    <mergeCell ref="A118:C118"/>
    <mergeCell ref="A26:B26"/>
    <mergeCell ref="A25:B25"/>
    <mergeCell ref="A108:C108"/>
    <mergeCell ref="A110:C110"/>
    <mergeCell ref="A113:C113"/>
    <mergeCell ref="A114:C114"/>
    <mergeCell ref="A115:C115"/>
    <mergeCell ref="A101:C101"/>
    <mergeCell ref="A102:C102"/>
    <mergeCell ref="A105:C105"/>
    <mergeCell ref="A106:C106"/>
    <mergeCell ref="A107:C107"/>
    <mergeCell ref="A91:C91"/>
    <mergeCell ref="A92:C92"/>
    <mergeCell ref="A93:C93"/>
    <mergeCell ref="A72:C72"/>
    <mergeCell ref="A73:C73"/>
    <mergeCell ref="A100:C100"/>
  </mergeCells>
  <conditionalFormatting sqref="C27:D27">
    <cfRule type="cellIs" dxfId="28" priority="12" operator="greaterThan">
      <formula>0.14</formula>
    </cfRule>
  </conditionalFormatting>
  <conditionalFormatting sqref="G111:H111">
    <cfRule type="expression" dxfId="26" priority="78">
      <formula>SUM($G$111:$H$111)&gt;$O$108</formula>
    </cfRule>
  </conditionalFormatting>
  <conditionalFormatting sqref="H112">
    <cfRule type="cellIs" dxfId="23" priority="77" operator="greaterThan">
      <formula>$O$107</formula>
    </cfRule>
  </conditionalFormatting>
  <conditionalFormatting sqref="V147">
    <cfRule type="cellIs" dxfId="22" priority="14" operator="lessThan">
      <formula>0</formula>
    </cfRule>
  </conditionalFormatting>
  <conditionalFormatting sqref="X147">
    <cfRule type="cellIs" dxfId="21" priority="13" operator="lessThan">
      <formula>0</formula>
    </cfRule>
  </conditionalFormatting>
  <printOptions horizontalCentered="1"/>
  <pageMargins left="0.25" right="0.25" top="0.75" bottom="0.25" header="0.3" footer="0.3"/>
  <pageSetup scale="61" fitToHeight="2" orientation="portrait" horizontalDpi="1200" r:id="rId1"/>
  <rowBreaks count="1" manualBreakCount="1">
    <brk id="64" max="11" man="1"/>
  </rowBreaks>
  <legacyDrawing r:id="rId2"/>
  <extLst>
    <ext xmlns:x14="http://schemas.microsoft.com/office/spreadsheetml/2009/9/main" uri="{78C0D931-6437-407d-A8EE-F0AAD7539E65}">
      <x14:conditionalFormattings>
        <x14:conditionalFormatting xmlns:xm="http://schemas.microsoft.com/office/excel/2006/main">
          <x14:cfRule type="expression" priority="79" id="{A10C6580-EBD1-4537-A966-1539624AE352}">
            <xm:f>OR('Project Summary'!$C$22="Yes",'Project Summary'!$C$20='Project Summary'!$Q$133)</xm:f>
            <x14:dxf>
              <fill>
                <patternFill>
                  <bgColor rgb="FFCCFFCC"/>
                </patternFill>
              </fill>
            </x14:dxf>
          </x14:cfRule>
          <xm:sqref>G8:H10 G14 G16:G17 G21:G26 G28:G34 G38:G45 G49:G62 G79:G81 G84:G88 G106:G110</xm:sqref>
        </x14:conditionalFormatting>
        <x14:conditionalFormatting xmlns:xm="http://schemas.microsoft.com/office/excel/2006/main">
          <x14:cfRule type="expression" priority="10" id="{DE0A4A88-E4DB-42F4-84F3-2E17C1A87A79}">
            <xm:f>'Project Summary'!$C$19="Yes"</xm:f>
            <x14:dxf>
              <fill>
                <patternFill>
                  <bgColor rgb="FFCCFFCC"/>
                </patternFill>
              </fill>
            </x14:dxf>
          </x14:cfRule>
          <xm:sqref>H14 H16:H17 H21:H26 H28:H34 H38:H45 H49:H53 H55:H62 H79:H81 H84:H88</xm:sqref>
        </x14:conditionalFormatting>
        <x14:conditionalFormatting xmlns:xm="http://schemas.microsoft.com/office/excel/2006/main">
          <x14:cfRule type="expression" priority="4" id="{9D067A50-9F3A-491C-AF36-224EF2BFB8E8}">
            <xm:f>'Project Summary'!$C$19="Yes"</xm:f>
            <x14:dxf>
              <fill>
                <patternFill>
                  <bgColor rgb="FFCCFFCC"/>
                </patternFill>
              </fill>
            </x14:dxf>
          </x14:cfRule>
          <xm:sqref>H106:H110</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1753E8D3-647C-45AB-B3AC-E8C607809C18}">
          <x14:formula1>
            <xm:f>'Project Summary'!$M$130:$M$131</xm:f>
          </x14:formula1>
          <xm:sqref>P105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C141B-A343-4AD6-82D0-164B324C1BCD}">
  <sheetPr>
    <pageSetUpPr fitToPage="1"/>
  </sheetPr>
  <dimension ref="A1:J53"/>
  <sheetViews>
    <sheetView zoomScale="85" zoomScaleNormal="85" workbookViewId="0">
      <selection activeCell="D6" sqref="D6"/>
    </sheetView>
  </sheetViews>
  <sheetFormatPr defaultRowHeight="15" x14ac:dyDescent="0.25"/>
  <cols>
    <col min="1" max="1" width="30.7109375" customWidth="1"/>
    <col min="2" max="3" width="6.7109375" customWidth="1"/>
    <col min="4" max="4" width="8.42578125" bestFit="1" customWidth="1"/>
    <col min="5" max="6" width="18.7109375" customWidth="1"/>
    <col min="7" max="7" width="1.7109375" customWidth="1"/>
    <col min="8" max="8" width="18.7109375" customWidth="1"/>
    <col min="9" max="9" width="1.7109375" customWidth="1"/>
    <col min="10" max="10" width="18.7109375" customWidth="1"/>
  </cols>
  <sheetData>
    <row r="1" spans="1:10" ht="18.75" x14ac:dyDescent="0.3">
      <c r="A1" s="950" t="s">
        <v>543</v>
      </c>
      <c r="B1" s="950"/>
      <c r="C1" s="950"/>
      <c r="D1" s="950"/>
      <c r="E1" s="950"/>
      <c r="F1" s="950"/>
      <c r="G1" s="950"/>
      <c r="H1" s="950"/>
      <c r="I1" s="950"/>
      <c r="J1" s="950"/>
    </row>
    <row r="2" spans="1:10" x14ac:dyDescent="0.25">
      <c r="A2" s="230" t="s">
        <v>13</v>
      </c>
      <c r="B2" s="949" t="str">
        <f>IF('Project Summary'!$C$8&lt;1," ",'Project Summary'!$C$8)</f>
        <v xml:space="preserve"> </v>
      </c>
      <c r="C2" s="949"/>
      <c r="D2" s="949"/>
      <c r="E2" s="949"/>
      <c r="F2" s="949"/>
      <c r="G2" s="949"/>
      <c r="H2" s="230" t="s">
        <v>11</v>
      </c>
      <c r="I2" s="948" t="str">
        <f>IF('Project Summary'!$C$5&lt;1," ",'Project Summary'!$C$5)</f>
        <v xml:space="preserve"> </v>
      </c>
      <c r="J2" s="948"/>
    </row>
    <row r="3" spans="1:10" ht="9.9499999999999993" customHeight="1" x14ac:dyDescent="0.25">
      <c r="A3" s="191"/>
      <c r="B3" s="107"/>
      <c r="C3" s="107"/>
      <c r="D3" s="107"/>
      <c r="E3" s="107"/>
      <c r="F3" s="107"/>
      <c r="G3" s="107"/>
      <c r="H3" s="107"/>
      <c r="I3" s="107"/>
      <c r="J3" s="107"/>
    </row>
    <row r="4" spans="1:10" ht="15.75" customHeight="1" x14ac:dyDescent="0.25">
      <c r="A4" s="238"/>
      <c r="B4" s="955" t="s">
        <v>697</v>
      </c>
      <c r="C4" s="955"/>
      <c r="D4" s="955"/>
      <c r="E4" s="953" t="s">
        <v>490</v>
      </c>
      <c r="F4" s="953"/>
      <c r="G4" s="239"/>
      <c r="H4" s="240" t="s">
        <v>297</v>
      </c>
      <c r="J4" s="239" t="s">
        <v>298</v>
      </c>
    </row>
    <row r="5" spans="1:10" ht="15.75" x14ac:dyDescent="0.25">
      <c r="A5" s="241" t="s">
        <v>138</v>
      </c>
      <c r="B5" s="242" t="s">
        <v>139</v>
      </c>
      <c r="C5" s="242" t="s">
        <v>140</v>
      </c>
      <c r="D5" s="242" t="s">
        <v>141</v>
      </c>
      <c r="E5" s="243" t="s">
        <v>143</v>
      </c>
      <c r="F5" s="244" t="s">
        <v>142</v>
      </c>
      <c r="G5" s="243"/>
      <c r="H5" s="245" t="s">
        <v>142</v>
      </c>
      <c r="J5" s="239" t="s">
        <v>142</v>
      </c>
    </row>
    <row r="6" spans="1:10" x14ac:dyDescent="0.25">
      <c r="A6" s="55" t="str">
        <f>IF('Project Summary'!$C$44="Yes","Housing Trust Fund","")</f>
        <v/>
      </c>
      <c r="B6" s="56" t="str">
        <f>IF('Project Summary'!$C$44="Yes",'Project Summary'!$D$49,"")</f>
        <v/>
      </c>
      <c r="C6" s="56" t="str">
        <f>IF('Project Summary'!$C$44="Yes",1,"")</f>
        <v/>
      </c>
      <c r="D6" s="418" t="str">
        <f>IF('Project Summary'!$C$44="Yes",0%,"")</f>
        <v/>
      </c>
      <c r="E6" s="91">
        <f>IF('Project Summary'!$C$44="Yes",$F$6,0)</f>
        <v>0</v>
      </c>
      <c r="F6" s="91">
        <f>IF('Project Summary'!$C$44="Yes",'Project Summary'!$I$44,0)</f>
        <v>0</v>
      </c>
      <c r="G6" s="93"/>
      <c r="H6" s="104"/>
      <c r="J6" s="96">
        <f>SUM($F6,$H6)</f>
        <v>0</v>
      </c>
    </row>
    <row r="7" spans="1:10" x14ac:dyDescent="0.25">
      <c r="A7" s="55" t="str">
        <f>IF('Project Summary'!$C$66="Yes","HOME Investment Partnerships","")</f>
        <v/>
      </c>
      <c r="B7" s="56" t="str">
        <f>IF('Project Summary'!$C$66="Yes",'Project Summary'!$D$71,"")</f>
        <v/>
      </c>
      <c r="C7" s="56" t="str">
        <f>IF('Project Summary'!$C$66="Yes",1,"")</f>
        <v/>
      </c>
      <c r="D7" s="418" t="str">
        <f>IF('Project Summary'!$C$66="Yes",0%,"")</f>
        <v/>
      </c>
      <c r="E7" s="91">
        <f>IF('Project Summary'!$C$66="Yes",$F$7,0)</f>
        <v>0</v>
      </c>
      <c r="F7" s="91">
        <f>IF('Project Summary'!$C$66="Yes",'Project Summary'!$I$66,0)</f>
        <v>0</v>
      </c>
      <c r="G7" s="93"/>
      <c r="H7" s="104"/>
      <c r="J7" s="96">
        <f>SUM($F7,$H7)</f>
        <v>0</v>
      </c>
    </row>
    <row r="8" spans="1:10" x14ac:dyDescent="0.25">
      <c r="A8" s="55" t="str">
        <f>IF('Project Summary'!$C$89="Yes","Housing Incentive Fund","")</f>
        <v/>
      </c>
      <c r="B8" s="56" t="str">
        <f>IF('Project Summary'!$C$89="Yes",MAX(15,$B$6,$B$7, IF('Project Summary'!$C$19="Yes",30,0)),"")</f>
        <v/>
      </c>
      <c r="C8" s="56" t="str">
        <f>IF('Project Summary'!$C$89="Yes",1,"")</f>
        <v/>
      </c>
      <c r="D8" s="418" t="str">
        <f>IF('Project Summary'!$C$89="Yes",0%,"")</f>
        <v/>
      </c>
      <c r="E8" s="91">
        <f>IF('Project Summary'!$C$89="Yes",$F$8*0.95,0)</f>
        <v>0</v>
      </c>
      <c r="F8" s="91">
        <f>IF('Project Summary'!$C$89="Yes",'Project Summary'!$I$89,0)</f>
        <v>0</v>
      </c>
      <c r="G8" s="93"/>
      <c r="H8" s="105"/>
      <c r="J8" s="96">
        <f t="shared" ref="J8:J19" si="0">SUM($F8,$H8)</f>
        <v>0</v>
      </c>
    </row>
    <row r="9" spans="1:10" x14ac:dyDescent="0.25">
      <c r="A9" s="324"/>
      <c r="B9" s="325"/>
      <c r="C9" s="325"/>
      <c r="D9" s="25"/>
      <c r="E9" s="1">
        <v>0</v>
      </c>
      <c r="F9" s="1">
        <v>0</v>
      </c>
      <c r="G9" s="93"/>
      <c r="H9" s="97">
        <v>0</v>
      </c>
      <c r="J9" s="96">
        <f t="shared" si="0"/>
        <v>0</v>
      </c>
    </row>
    <row r="10" spans="1:10" x14ac:dyDescent="0.25">
      <c r="A10" s="57"/>
      <c r="B10" s="58"/>
      <c r="C10" s="58"/>
      <c r="D10" s="59"/>
      <c r="E10" s="1">
        <v>0</v>
      </c>
      <c r="F10" s="1">
        <v>0</v>
      </c>
      <c r="G10" s="93"/>
      <c r="H10" s="97">
        <v>0</v>
      </c>
      <c r="J10" s="96">
        <f t="shared" si="0"/>
        <v>0</v>
      </c>
    </row>
    <row r="11" spans="1:10" x14ac:dyDescent="0.25">
      <c r="A11" s="57"/>
      <c r="B11" s="58"/>
      <c r="C11" s="58"/>
      <c r="D11" s="59"/>
      <c r="E11" s="1">
        <v>0</v>
      </c>
      <c r="F11" s="1">
        <v>0</v>
      </c>
      <c r="G11" s="93"/>
      <c r="H11" s="97">
        <v>0</v>
      </c>
      <c r="J11" s="96">
        <f t="shared" si="0"/>
        <v>0</v>
      </c>
    </row>
    <row r="12" spans="1:10" x14ac:dyDescent="0.25">
      <c r="A12" s="57"/>
      <c r="B12" s="58"/>
      <c r="C12" s="58"/>
      <c r="D12" s="59"/>
      <c r="E12" s="1">
        <v>0</v>
      </c>
      <c r="F12" s="1">
        <v>0</v>
      </c>
      <c r="G12" s="93"/>
      <c r="H12" s="97">
        <v>0</v>
      </c>
      <c r="J12" s="96">
        <f t="shared" si="0"/>
        <v>0</v>
      </c>
    </row>
    <row r="13" spans="1:10" x14ac:dyDescent="0.25">
      <c r="A13" s="57"/>
      <c r="B13" s="58"/>
      <c r="C13" s="58"/>
      <c r="D13" s="59"/>
      <c r="E13" s="1">
        <v>0</v>
      </c>
      <c r="F13" s="1">
        <v>0</v>
      </c>
      <c r="G13" s="93"/>
      <c r="H13" s="97">
        <v>0</v>
      </c>
      <c r="J13" s="96">
        <f t="shared" si="0"/>
        <v>0</v>
      </c>
    </row>
    <row r="14" spans="1:10" x14ac:dyDescent="0.25">
      <c r="A14" s="57"/>
      <c r="B14" s="58"/>
      <c r="C14" s="58"/>
      <c r="D14" s="59"/>
      <c r="E14" s="1">
        <v>0</v>
      </c>
      <c r="F14" s="1">
        <v>0</v>
      </c>
      <c r="G14" s="93"/>
      <c r="H14" s="97">
        <v>0</v>
      </c>
      <c r="J14" s="96">
        <f t="shared" si="0"/>
        <v>0</v>
      </c>
    </row>
    <row r="15" spans="1:10" x14ac:dyDescent="0.25">
      <c r="A15" s="57"/>
      <c r="B15" s="58"/>
      <c r="C15" s="58"/>
      <c r="D15" s="59"/>
      <c r="E15" s="1">
        <v>0</v>
      </c>
      <c r="F15" s="1">
        <v>0</v>
      </c>
      <c r="G15" s="93"/>
      <c r="H15" s="97">
        <v>0</v>
      </c>
      <c r="J15" s="96">
        <f t="shared" si="0"/>
        <v>0</v>
      </c>
    </row>
    <row r="16" spans="1:10" x14ac:dyDescent="0.25">
      <c r="A16" s="57"/>
      <c r="B16" s="58"/>
      <c r="C16" s="58"/>
      <c r="D16" s="59"/>
      <c r="E16" s="1">
        <v>0</v>
      </c>
      <c r="F16" s="1">
        <v>0</v>
      </c>
      <c r="G16" s="93"/>
      <c r="H16" s="97">
        <v>0</v>
      </c>
      <c r="J16" s="96">
        <f t="shared" si="0"/>
        <v>0</v>
      </c>
    </row>
    <row r="17" spans="1:10" x14ac:dyDescent="0.25">
      <c r="A17" s="57"/>
      <c r="B17" s="58"/>
      <c r="C17" s="58"/>
      <c r="D17" s="59"/>
      <c r="E17" s="1">
        <v>0</v>
      </c>
      <c r="F17" s="1">
        <v>0</v>
      </c>
      <c r="G17" s="93"/>
      <c r="H17" s="97">
        <v>0</v>
      </c>
      <c r="J17" s="96">
        <f t="shared" si="0"/>
        <v>0</v>
      </c>
    </row>
    <row r="18" spans="1:10" x14ac:dyDescent="0.25">
      <c r="A18" s="57"/>
      <c r="B18" s="58"/>
      <c r="C18" s="58"/>
      <c r="D18" s="59"/>
      <c r="E18" s="1">
        <v>0</v>
      </c>
      <c r="F18" s="1">
        <v>0</v>
      </c>
      <c r="G18" s="93"/>
      <c r="H18" s="97">
        <v>0</v>
      </c>
      <c r="J18" s="96">
        <f t="shared" si="0"/>
        <v>0</v>
      </c>
    </row>
    <row r="19" spans="1:10" x14ac:dyDescent="0.25">
      <c r="A19" s="101" t="s">
        <v>145</v>
      </c>
      <c r="B19" s="58"/>
      <c r="C19" s="58" t="s">
        <v>963</v>
      </c>
      <c r="D19" s="59"/>
      <c r="E19" s="106"/>
      <c r="F19" s="91">
        <f>'Development Budget'!$E$107</f>
        <v>0</v>
      </c>
      <c r="G19" s="93"/>
      <c r="H19" s="98">
        <f>'Development Budget'!$J$107</f>
        <v>0</v>
      </c>
      <c r="J19" s="96">
        <f t="shared" si="0"/>
        <v>0</v>
      </c>
    </row>
    <row r="20" spans="1:10" ht="15.75" x14ac:dyDescent="0.25">
      <c r="A20" s="941" t="s">
        <v>146</v>
      </c>
      <c r="B20" s="942"/>
      <c r="C20" s="942"/>
      <c r="D20" s="943"/>
      <c r="E20" s="60">
        <f>SUM(E6:$E$19)</f>
        <v>0</v>
      </c>
      <c r="F20" s="60">
        <f>SUM(F6:$F$19)</f>
        <v>0</v>
      </c>
      <c r="G20" s="92"/>
      <c r="H20" s="102">
        <f>SUM(H6:H19)</f>
        <v>0</v>
      </c>
      <c r="J20" s="100">
        <f>SUM(J6:J19)</f>
        <v>0</v>
      </c>
    </row>
    <row r="21" spans="1:10" ht="9.9499999999999993" customHeight="1" x14ac:dyDescent="0.25">
      <c r="A21" s="246"/>
      <c r="B21" s="247"/>
      <c r="C21" s="247"/>
      <c r="D21" s="247"/>
      <c r="E21" s="99"/>
      <c r="F21" s="99"/>
      <c r="G21" s="92"/>
      <c r="H21" s="248"/>
    </row>
    <row r="22" spans="1:10" ht="15.75" x14ac:dyDescent="0.25">
      <c r="A22" s="196"/>
      <c r="B22" s="196"/>
      <c r="C22" s="196"/>
      <c r="E22" s="953" t="s">
        <v>490</v>
      </c>
      <c r="F22" s="953"/>
      <c r="G22" s="94"/>
      <c r="H22" s="240" t="s">
        <v>297</v>
      </c>
      <c r="J22" s="239" t="s">
        <v>298</v>
      </c>
    </row>
    <row r="23" spans="1:10" ht="15.75" x14ac:dyDescent="0.25">
      <c r="A23" s="241" t="s">
        <v>147</v>
      </c>
      <c r="B23" s="249"/>
      <c r="C23" s="249"/>
      <c r="E23" s="243" t="s">
        <v>143</v>
      </c>
      <c r="F23" s="244" t="s">
        <v>142</v>
      </c>
      <c r="G23" s="243"/>
      <c r="H23" s="245" t="s">
        <v>142</v>
      </c>
      <c r="J23" s="239" t="s">
        <v>142</v>
      </c>
    </row>
    <row r="24" spans="1:10" x14ac:dyDescent="0.25">
      <c r="A24" s="944" t="str">
        <f>IF('Project Summary'!$C$19="Yes","Low Income Housing Tax Credit Equity","")</f>
        <v/>
      </c>
      <c r="B24" s="945"/>
      <c r="C24" s="945"/>
      <c r="D24" s="945"/>
      <c r="E24" s="1">
        <v>0</v>
      </c>
      <c r="F24" s="91" t="str">
        <f>'Tax Credit Calc'!$C$35</f>
        <v/>
      </c>
      <c r="G24" s="93"/>
      <c r="H24" s="329"/>
      <c r="J24" s="96">
        <f>SUM($F24,$H24)</f>
        <v>0</v>
      </c>
    </row>
    <row r="25" spans="1:10" x14ac:dyDescent="0.25">
      <c r="A25" s="932"/>
      <c r="B25" s="933"/>
      <c r="C25" s="933"/>
      <c r="D25" s="933"/>
      <c r="E25" s="1">
        <v>0</v>
      </c>
      <c r="F25" s="1">
        <v>0</v>
      </c>
      <c r="G25" s="93"/>
      <c r="H25" s="97">
        <v>0</v>
      </c>
      <c r="J25" s="96">
        <f t="shared" ref="J25:J33" si="1">SUM($F25,$H25)</f>
        <v>0</v>
      </c>
    </row>
    <row r="26" spans="1:10" x14ac:dyDescent="0.25">
      <c r="A26" s="932"/>
      <c r="B26" s="933"/>
      <c r="C26" s="933"/>
      <c r="D26" s="933"/>
      <c r="E26" s="1">
        <v>0</v>
      </c>
      <c r="F26" s="1">
        <v>0</v>
      </c>
      <c r="G26" s="93"/>
      <c r="H26" s="97">
        <v>0</v>
      </c>
      <c r="J26" s="96">
        <f t="shared" si="1"/>
        <v>0</v>
      </c>
    </row>
    <row r="27" spans="1:10" x14ac:dyDescent="0.25">
      <c r="A27" s="932"/>
      <c r="B27" s="933"/>
      <c r="C27" s="933"/>
      <c r="D27" s="933"/>
      <c r="E27" s="1">
        <v>0</v>
      </c>
      <c r="F27" s="1">
        <v>0</v>
      </c>
      <c r="G27" s="93"/>
      <c r="H27" s="97">
        <v>0</v>
      </c>
      <c r="J27" s="96">
        <f t="shared" si="1"/>
        <v>0</v>
      </c>
    </row>
    <row r="28" spans="1:10" x14ac:dyDescent="0.25">
      <c r="A28" s="932"/>
      <c r="B28" s="933"/>
      <c r="C28" s="933"/>
      <c r="D28" s="933"/>
      <c r="E28" s="1">
        <v>0</v>
      </c>
      <c r="F28" s="1">
        <v>0</v>
      </c>
      <c r="G28" s="93"/>
      <c r="H28" s="97">
        <v>0</v>
      </c>
      <c r="J28" s="96">
        <f t="shared" si="1"/>
        <v>0</v>
      </c>
    </row>
    <row r="29" spans="1:10" x14ac:dyDescent="0.25">
      <c r="A29" s="932"/>
      <c r="B29" s="933"/>
      <c r="C29" s="933"/>
      <c r="D29" s="933"/>
      <c r="E29" s="1">
        <v>0</v>
      </c>
      <c r="F29" s="1">
        <v>0</v>
      </c>
      <c r="G29" s="93"/>
      <c r="H29" s="97">
        <v>0</v>
      </c>
      <c r="J29" s="96">
        <f t="shared" si="1"/>
        <v>0</v>
      </c>
    </row>
    <row r="30" spans="1:10" x14ac:dyDescent="0.25">
      <c r="A30" s="932"/>
      <c r="B30" s="933"/>
      <c r="C30" s="933"/>
      <c r="D30" s="933"/>
      <c r="E30" s="1">
        <v>0</v>
      </c>
      <c r="F30" s="1">
        <v>0</v>
      </c>
      <c r="G30" s="93"/>
      <c r="H30" s="97">
        <v>0</v>
      </c>
      <c r="J30" s="96">
        <f t="shared" si="1"/>
        <v>0</v>
      </c>
    </row>
    <row r="31" spans="1:10" x14ac:dyDescent="0.25">
      <c r="A31" s="932"/>
      <c r="B31" s="933"/>
      <c r="C31" s="933"/>
      <c r="D31" s="933"/>
      <c r="E31" s="1">
        <v>0</v>
      </c>
      <c r="F31" s="1">
        <v>0</v>
      </c>
      <c r="G31" s="93"/>
      <c r="H31" s="97">
        <v>0</v>
      </c>
      <c r="J31" s="96">
        <f t="shared" si="1"/>
        <v>0</v>
      </c>
    </row>
    <row r="32" spans="1:10" x14ac:dyDescent="0.25">
      <c r="A32" s="932"/>
      <c r="B32" s="933"/>
      <c r="C32" s="933"/>
      <c r="D32" s="933"/>
      <c r="E32" s="1">
        <v>0</v>
      </c>
      <c r="F32" s="1">
        <v>0</v>
      </c>
      <c r="G32" s="93"/>
      <c r="H32" s="97">
        <v>0</v>
      </c>
      <c r="J32" s="96">
        <f t="shared" si="1"/>
        <v>0</v>
      </c>
    </row>
    <row r="33" spans="1:10" x14ac:dyDescent="0.25">
      <c r="A33" s="932"/>
      <c r="B33" s="933"/>
      <c r="C33" s="933"/>
      <c r="D33" s="933"/>
      <c r="E33" s="1">
        <v>0</v>
      </c>
      <c r="F33" s="1">
        <v>0</v>
      </c>
      <c r="G33" s="93"/>
      <c r="H33" s="97">
        <v>0</v>
      </c>
      <c r="J33" s="96">
        <f t="shared" si="1"/>
        <v>0</v>
      </c>
    </row>
    <row r="34" spans="1:10" ht="15.75" x14ac:dyDescent="0.25">
      <c r="A34" s="937" t="s">
        <v>148</v>
      </c>
      <c r="B34" s="938"/>
      <c r="C34" s="938"/>
      <c r="D34" s="939"/>
      <c r="E34" s="61">
        <f>SUM(E24:E33)</f>
        <v>0</v>
      </c>
      <c r="F34" s="61">
        <f>SUM(F24:F33)</f>
        <v>0</v>
      </c>
      <c r="G34" s="92"/>
      <c r="H34" s="100">
        <f>SUM(H24:H33)</f>
        <v>0</v>
      </c>
      <c r="J34" s="100">
        <f>SUM(J24:J33)</f>
        <v>0</v>
      </c>
    </row>
    <row r="35" spans="1:10" x14ac:dyDescent="0.25">
      <c r="A35" s="381"/>
      <c r="B35" s="382"/>
      <c r="C35" s="382"/>
      <c r="D35" s="382"/>
      <c r="E35" s="37"/>
      <c r="F35" s="36"/>
      <c r="G35" s="44"/>
    </row>
    <row r="36" spans="1:10" ht="18.75" x14ac:dyDescent="0.3">
      <c r="A36" s="946" t="s">
        <v>149</v>
      </c>
      <c r="B36" s="947"/>
      <c r="C36" s="947"/>
      <c r="D36" s="947"/>
      <c r="E36" s="103">
        <f>E20+E34</f>
        <v>0</v>
      </c>
      <c r="F36" s="103">
        <f>F20+F34</f>
        <v>0</v>
      </c>
      <c r="G36" s="250"/>
      <c r="H36" s="103">
        <f>H20+H34</f>
        <v>0</v>
      </c>
      <c r="J36" s="103">
        <f>J20+J34</f>
        <v>0</v>
      </c>
    </row>
    <row r="37" spans="1:10" ht="18.75" x14ac:dyDescent="0.3">
      <c r="A37" s="954" t="s">
        <v>152</v>
      </c>
      <c r="B37" s="954"/>
      <c r="C37" s="954"/>
      <c r="D37" s="954"/>
      <c r="E37" s="946"/>
      <c r="F37" s="103">
        <f>$J$36-'Development Budget'!$E$121</f>
        <v>0</v>
      </c>
      <c r="G37" s="238"/>
      <c r="H37" s="103">
        <f>$H$36-'Development Budget'!$J$121</f>
        <v>0</v>
      </c>
      <c r="I37" s="356"/>
      <c r="J37" s="103">
        <f>$J$36-'Development Budget'!$L$121</f>
        <v>0</v>
      </c>
    </row>
    <row r="38" spans="1:10" ht="9.9499999999999993" customHeight="1" x14ac:dyDescent="0.25">
      <c r="F38" s="38"/>
      <c r="G38" s="95"/>
    </row>
    <row r="39" spans="1:10" x14ac:dyDescent="0.25">
      <c r="A39" s="935" t="s">
        <v>1093</v>
      </c>
      <c r="B39" s="935"/>
      <c r="C39" s="935"/>
      <c r="D39" s="935"/>
      <c r="E39" s="935"/>
      <c r="F39" s="935"/>
      <c r="G39" s="935"/>
      <c r="H39" s="935"/>
      <c r="I39" s="935"/>
      <c r="J39" s="935"/>
    </row>
    <row r="40" spans="1:10" x14ac:dyDescent="0.25">
      <c r="A40" s="935"/>
      <c r="B40" s="935"/>
      <c r="C40" s="935"/>
      <c r="D40" s="935"/>
      <c r="E40" s="935"/>
      <c r="F40" s="935"/>
      <c r="G40" s="935"/>
      <c r="H40" s="935"/>
      <c r="I40" s="935"/>
      <c r="J40" s="935"/>
    </row>
    <row r="41" spans="1:10" x14ac:dyDescent="0.25">
      <c r="A41" s="935"/>
      <c r="B41" s="935"/>
      <c r="C41" s="935"/>
      <c r="D41" s="935"/>
      <c r="E41" s="935"/>
      <c r="F41" s="935"/>
      <c r="G41" s="935"/>
      <c r="H41" s="935"/>
      <c r="I41" s="935"/>
      <c r="J41" s="935"/>
    </row>
    <row r="42" spans="1:10" x14ac:dyDescent="0.25">
      <c r="A42" s="936"/>
      <c r="B42" s="936"/>
      <c r="C42" s="936"/>
      <c r="D42" s="936"/>
      <c r="E42" s="936"/>
      <c r="F42" s="936"/>
      <c r="G42" s="936"/>
      <c r="H42" s="936"/>
      <c r="I42" s="936"/>
      <c r="J42" s="936"/>
    </row>
    <row r="43" spans="1:10" ht="15.75" x14ac:dyDescent="0.25">
      <c r="A43" s="252" t="s">
        <v>76</v>
      </c>
      <c r="B43" s="952" t="s">
        <v>150</v>
      </c>
      <c r="C43" s="952"/>
      <c r="D43" s="952"/>
      <c r="E43" s="952"/>
      <c r="F43" s="952"/>
      <c r="G43" s="951" t="s">
        <v>151</v>
      </c>
      <c r="H43" s="951"/>
      <c r="I43" s="952" t="s">
        <v>144</v>
      </c>
      <c r="J43" s="952"/>
    </row>
    <row r="44" spans="1:10" x14ac:dyDescent="0.25">
      <c r="A44" s="86"/>
      <c r="B44" s="934"/>
      <c r="C44" s="934"/>
      <c r="D44" s="934"/>
      <c r="E44" s="934"/>
      <c r="F44" s="934"/>
      <c r="G44" s="931">
        <v>0</v>
      </c>
      <c r="H44" s="931"/>
      <c r="I44" s="940"/>
      <c r="J44" s="940"/>
    </row>
    <row r="45" spans="1:10" x14ac:dyDescent="0.25">
      <c r="A45" s="86"/>
      <c r="B45" s="934"/>
      <c r="C45" s="934"/>
      <c r="D45" s="934"/>
      <c r="E45" s="934"/>
      <c r="F45" s="934"/>
      <c r="G45" s="931">
        <v>0</v>
      </c>
      <c r="H45" s="931"/>
      <c r="I45" s="940"/>
      <c r="J45" s="940"/>
    </row>
    <row r="46" spans="1:10" x14ac:dyDescent="0.25">
      <c r="A46" s="86"/>
      <c r="B46" s="934"/>
      <c r="C46" s="934"/>
      <c r="D46" s="934"/>
      <c r="E46" s="934"/>
      <c r="F46" s="934"/>
      <c r="G46" s="931">
        <v>0</v>
      </c>
      <c r="H46" s="931"/>
      <c r="I46" s="940"/>
      <c r="J46" s="940"/>
    </row>
    <row r="47" spans="1:10" x14ac:dyDescent="0.25">
      <c r="A47" s="86"/>
      <c r="B47" s="934"/>
      <c r="C47" s="934"/>
      <c r="D47" s="934"/>
      <c r="E47" s="934"/>
      <c r="F47" s="934"/>
      <c r="G47" s="931">
        <v>0</v>
      </c>
      <c r="H47" s="931"/>
      <c r="I47" s="940"/>
      <c r="J47" s="940"/>
    </row>
    <row r="48" spans="1:10" x14ac:dyDescent="0.25">
      <c r="A48" s="86"/>
      <c r="B48" s="934"/>
      <c r="C48" s="934"/>
      <c r="D48" s="934"/>
      <c r="E48" s="934"/>
      <c r="F48" s="934"/>
      <c r="G48" s="931">
        <v>0</v>
      </c>
      <c r="H48" s="931"/>
      <c r="I48" s="940"/>
      <c r="J48" s="940"/>
    </row>
    <row r="49" spans="1:10" x14ac:dyDescent="0.25">
      <c r="A49" s="86"/>
      <c r="B49" s="934"/>
      <c r="C49" s="934"/>
      <c r="D49" s="934"/>
      <c r="E49" s="934"/>
      <c r="F49" s="934"/>
      <c r="G49" s="931">
        <v>0</v>
      </c>
      <c r="H49" s="931"/>
      <c r="I49" s="940"/>
      <c r="J49" s="940"/>
    </row>
    <row r="50" spans="1:10" x14ac:dyDescent="0.25">
      <c r="A50" s="86"/>
      <c r="B50" s="934"/>
      <c r="C50" s="934"/>
      <c r="D50" s="934"/>
      <c r="E50" s="934"/>
      <c r="F50" s="934"/>
      <c r="G50" s="931">
        <v>0</v>
      </c>
      <c r="H50" s="931"/>
      <c r="I50" s="940"/>
      <c r="J50" s="940"/>
    </row>
    <row r="51" spans="1:10" x14ac:dyDescent="0.25">
      <c r="A51" s="86"/>
      <c r="B51" s="934"/>
      <c r="C51" s="934"/>
      <c r="D51" s="934"/>
      <c r="E51" s="934"/>
      <c r="F51" s="934"/>
      <c r="G51" s="931">
        <v>0</v>
      </c>
      <c r="H51" s="931"/>
      <c r="I51" s="940"/>
      <c r="J51" s="940"/>
    </row>
    <row r="52" spans="1:10" x14ac:dyDescent="0.25">
      <c r="A52" s="86"/>
      <c r="B52" s="934"/>
      <c r="C52" s="934"/>
      <c r="D52" s="934"/>
      <c r="E52" s="934"/>
      <c r="F52" s="934"/>
      <c r="G52" s="931">
        <v>0</v>
      </c>
      <c r="H52" s="931"/>
      <c r="I52" s="940"/>
      <c r="J52" s="940"/>
    </row>
    <row r="53" spans="1:10" x14ac:dyDescent="0.25">
      <c r="A53" s="86"/>
      <c r="B53" s="934"/>
      <c r="C53" s="934"/>
      <c r="D53" s="934"/>
      <c r="E53" s="934"/>
      <c r="F53" s="934"/>
      <c r="G53" s="931">
        <v>0</v>
      </c>
      <c r="H53" s="931"/>
      <c r="I53" s="940"/>
      <c r="J53" s="940"/>
    </row>
  </sheetData>
  <sheetProtection algorithmName="SHA-512" hashValue="tGC/jmXo1+tlbKo59qb61tfcWbUk2hx+0b8+ieP93hD9BaKB0SaDzMNYJbEWS4MgYzS708ojGcXFc3hnLuN0Iw==" saltValue="T5Nop0JeahBo5rb3w6G+VA==" spinCount="100000" sheet="1" objects="1" scenarios="1"/>
  <mergeCells count="54">
    <mergeCell ref="I2:J2"/>
    <mergeCell ref="B2:G2"/>
    <mergeCell ref="A1:J1"/>
    <mergeCell ref="G46:H46"/>
    <mergeCell ref="G45:H45"/>
    <mergeCell ref="G44:H44"/>
    <mergeCell ref="G43:H43"/>
    <mergeCell ref="I43:J43"/>
    <mergeCell ref="E4:F4"/>
    <mergeCell ref="E22:F22"/>
    <mergeCell ref="A37:E37"/>
    <mergeCell ref="B43:F43"/>
    <mergeCell ref="B44:F44"/>
    <mergeCell ref="B45:F45"/>
    <mergeCell ref="B4:D4"/>
    <mergeCell ref="I45:J45"/>
    <mergeCell ref="I44:J44"/>
    <mergeCell ref="I53:J53"/>
    <mergeCell ref="I52:J52"/>
    <mergeCell ref="I51:J51"/>
    <mergeCell ref="I50:J50"/>
    <mergeCell ref="I49:J49"/>
    <mergeCell ref="A31:D31"/>
    <mergeCell ref="A36:D36"/>
    <mergeCell ref="G51:H51"/>
    <mergeCell ref="G50:H50"/>
    <mergeCell ref="G49:H49"/>
    <mergeCell ref="G48:H48"/>
    <mergeCell ref="G47:H47"/>
    <mergeCell ref="B48:F48"/>
    <mergeCell ref="A20:D20"/>
    <mergeCell ref="A24:D24"/>
    <mergeCell ref="A25:D25"/>
    <mergeCell ref="A26:D26"/>
    <mergeCell ref="A30:D30"/>
    <mergeCell ref="A27:D27"/>
    <mergeCell ref="A28:D28"/>
    <mergeCell ref="A29:D29"/>
    <mergeCell ref="G53:H53"/>
    <mergeCell ref="G52:H52"/>
    <mergeCell ref="A32:D32"/>
    <mergeCell ref="A33:D33"/>
    <mergeCell ref="B53:F53"/>
    <mergeCell ref="B52:F52"/>
    <mergeCell ref="B51:F51"/>
    <mergeCell ref="B50:F50"/>
    <mergeCell ref="B49:F49"/>
    <mergeCell ref="B47:F47"/>
    <mergeCell ref="B46:F46"/>
    <mergeCell ref="A39:J42"/>
    <mergeCell ref="A34:D34"/>
    <mergeCell ref="I48:J48"/>
    <mergeCell ref="I47:J47"/>
    <mergeCell ref="I46:J46"/>
  </mergeCells>
  <conditionalFormatting sqref="F37">
    <cfRule type="cellIs" dxfId="20" priority="2" operator="lessThan">
      <formula>0</formula>
    </cfRule>
  </conditionalFormatting>
  <conditionalFormatting sqref="H37">
    <cfRule type="cellIs" dxfId="19" priority="1" operator="lessThan">
      <formula>0</formula>
    </cfRule>
  </conditionalFormatting>
  <conditionalFormatting sqref="J37">
    <cfRule type="cellIs" dxfId="18" priority="3" operator="lessThan">
      <formula>0</formula>
    </cfRule>
  </conditionalFormatting>
  <printOptions horizontalCentered="1"/>
  <pageMargins left="0.25" right="0.25" top="1" bottom="0.25" header="0.3" footer="0.3"/>
  <pageSetup scale="79" orientation="portrait" horizontalDpi="12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FF930-7907-4B30-B07F-41425578C89C}">
  <sheetPr>
    <pageSetUpPr fitToPage="1"/>
  </sheetPr>
  <dimension ref="A1:I35"/>
  <sheetViews>
    <sheetView workbookViewId="0">
      <selection activeCell="B7" sqref="B7:E7"/>
    </sheetView>
  </sheetViews>
  <sheetFormatPr defaultRowHeight="15" x14ac:dyDescent="0.25"/>
  <cols>
    <col min="1" max="1" width="13.5703125" customWidth="1"/>
    <col min="2" max="2" width="9.5703125" bestFit="1" customWidth="1"/>
    <col min="4" max="4" width="9.5703125" bestFit="1" customWidth="1"/>
  </cols>
  <sheetData>
    <row r="1" spans="1:9" ht="18.75" x14ac:dyDescent="0.3">
      <c r="A1" s="733" t="s">
        <v>54</v>
      </c>
      <c r="B1" s="733"/>
      <c r="C1" s="733"/>
      <c r="D1" s="733"/>
      <c r="E1" s="733"/>
      <c r="F1" s="733"/>
      <c r="G1" s="733"/>
      <c r="H1" s="733"/>
      <c r="I1" s="108"/>
    </row>
    <row r="2" spans="1:9" x14ac:dyDescent="0.25">
      <c r="A2" s="230" t="s">
        <v>13</v>
      </c>
      <c r="B2" s="966" t="str">
        <f>IF('Project Summary'!$C$8&lt;1," ",'Project Summary'!$C$8)</f>
        <v xml:space="preserve"> </v>
      </c>
      <c r="C2" s="966"/>
      <c r="D2" s="966"/>
      <c r="E2" s="966"/>
      <c r="F2" s="966"/>
      <c r="G2" s="966"/>
      <c r="H2" s="966"/>
    </row>
    <row r="3" spans="1:9" x14ac:dyDescent="0.25">
      <c r="A3" s="230" t="s">
        <v>11</v>
      </c>
      <c r="B3" s="972" t="str">
        <f>IF('Project Summary'!$C$5&lt;1," ",'Project Summary'!$C$5)</f>
        <v xml:space="preserve"> </v>
      </c>
      <c r="C3" s="972"/>
      <c r="D3" s="972"/>
      <c r="E3" s="126"/>
      <c r="G3" s="378"/>
      <c r="H3" s="378"/>
    </row>
    <row r="4" spans="1:9" ht="9.9499999999999993" customHeight="1" x14ac:dyDescent="0.25"/>
    <row r="5" spans="1:9" x14ac:dyDescent="0.25">
      <c r="A5" s="960" t="s">
        <v>669</v>
      </c>
      <c r="B5" s="961"/>
      <c r="C5" s="961"/>
      <c r="D5" s="961"/>
      <c r="E5" s="961"/>
      <c r="F5" s="961"/>
      <c r="G5" s="961"/>
      <c r="H5" s="962"/>
    </row>
    <row r="6" spans="1:9" x14ac:dyDescent="0.25">
      <c r="A6" s="963"/>
      <c r="B6" s="964"/>
      <c r="C6" s="964"/>
      <c r="D6" s="964"/>
      <c r="E6" s="964"/>
      <c r="F6" s="964"/>
      <c r="G6" s="964"/>
      <c r="H6" s="965"/>
    </row>
    <row r="7" spans="1:9" x14ac:dyDescent="0.25">
      <c r="A7" s="231" t="s">
        <v>76</v>
      </c>
      <c r="B7" s="967"/>
      <c r="C7" s="967"/>
      <c r="D7" s="968"/>
      <c r="E7" s="969"/>
      <c r="F7" s="970" t="s">
        <v>77</v>
      </c>
      <c r="G7" s="971"/>
      <c r="H7" s="326"/>
    </row>
    <row r="8" spans="1:9" ht="20.100000000000001" customHeight="1" x14ac:dyDescent="0.25">
      <c r="A8" s="207"/>
      <c r="B8" s="232" t="s">
        <v>55</v>
      </c>
      <c r="C8" s="232" t="s">
        <v>56</v>
      </c>
      <c r="D8" s="232" t="s">
        <v>57</v>
      </c>
      <c r="E8" s="232" t="s">
        <v>58</v>
      </c>
      <c r="F8" s="232" t="s">
        <v>59</v>
      </c>
      <c r="G8" s="232" t="s">
        <v>60</v>
      </c>
      <c r="H8" s="232" t="s">
        <v>61</v>
      </c>
    </row>
    <row r="9" spans="1:9" x14ac:dyDescent="0.25">
      <c r="A9" s="233" t="s">
        <v>62</v>
      </c>
      <c r="B9" s="88"/>
      <c r="C9" s="29"/>
      <c r="D9" s="35"/>
      <c r="E9" s="35"/>
      <c r="F9" s="35"/>
      <c r="G9" s="35"/>
      <c r="H9" s="35"/>
    </row>
    <row r="10" spans="1:9" x14ac:dyDescent="0.25">
      <c r="A10" s="233" t="s">
        <v>63</v>
      </c>
      <c r="B10" s="88"/>
      <c r="C10" s="88"/>
      <c r="D10" s="35"/>
      <c r="E10" s="35"/>
      <c r="F10" s="35"/>
      <c r="G10" s="35"/>
      <c r="H10" s="35"/>
    </row>
    <row r="11" spans="1:9" x14ac:dyDescent="0.25">
      <c r="A11" s="233" t="s">
        <v>64</v>
      </c>
      <c r="B11" s="88"/>
      <c r="C11" s="88"/>
      <c r="D11" s="35"/>
      <c r="E11" s="35"/>
      <c r="F11" s="35"/>
      <c r="G11" s="35"/>
      <c r="H11" s="35"/>
    </row>
    <row r="12" spans="1:9" x14ac:dyDescent="0.25">
      <c r="A12" s="233" t="s">
        <v>65</v>
      </c>
      <c r="B12" s="234"/>
      <c r="C12" s="88"/>
      <c r="D12" s="35"/>
      <c r="E12" s="35"/>
      <c r="F12" s="35"/>
      <c r="G12" s="35"/>
      <c r="H12" s="35"/>
    </row>
    <row r="13" spans="1:9" x14ac:dyDescent="0.25">
      <c r="A13" s="233" t="s">
        <v>66</v>
      </c>
      <c r="B13" s="234"/>
      <c r="C13" s="88"/>
      <c r="D13" s="35"/>
      <c r="E13" s="35"/>
      <c r="F13" s="35"/>
      <c r="G13" s="35"/>
      <c r="H13" s="35"/>
    </row>
    <row r="14" spans="1:9" x14ac:dyDescent="0.25">
      <c r="A14" s="233" t="s">
        <v>67</v>
      </c>
      <c r="B14" s="234"/>
      <c r="C14" s="88"/>
      <c r="D14" s="35"/>
      <c r="E14" s="35"/>
      <c r="F14" s="35"/>
      <c r="G14" s="35"/>
      <c r="H14" s="35"/>
    </row>
    <row r="15" spans="1:9" x14ac:dyDescent="0.25">
      <c r="A15" s="233" t="s">
        <v>68</v>
      </c>
      <c r="B15" s="234"/>
      <c r="C15" s="88"/>
      <c r="D15" s="35"/>
      <c r="E15" s="35"/>
      <c r="F15" s="35"/>
      <c r="G15" s="35"/>
      <c r="H15" s="35"/>
    </row>
    <row r="16" spans="1:9" x14ac:dyDescent="0.25">
      <c r="A16" s="233" t="s">
        <v>69</v>
      </c>
      <c r="B16" s="234"/>
      <c r="C16" s="88"/>
      <c r="D16" s="35"/>
      <c r="E16" s="35"/>
      <c r="F16" s="35"/>
      <c r="G16" s="35"/>
      <c r="H16" s="35"/>
    </row>
    <row r="17" spans="1:8" x14ac:dyDescent="0.25">
      <c r="A17" s="235" t="s">
        <v>70</v>
      </c>
      <c r="B17" s="234"/>
      <c r="C17" s="234"/>
      <c r="D17" s="236">
        <f>SUMIF($C$9:$C$16,"Tenant",D9:D16)</f>
        <v>0</v>
      </c>
      <c r="E17" s="236">
        <f>SUMIF($C$9:$C$16,"Tenant",E9:E16)</f>
        <v>0</v>
      </c>
      <c r="F17" s="236">
        <f>SUMIF($C$9:$C$16,"Tenant",F9:F16)</f>
        <v>0</v>
      </c>
      <c r="G17" s="236">
        <f>SUMIF($C$9:$C$16,"Tenant",G9:G16)</f>
        <v>0</v>
      </c>
      <c r="H17" s="236">
        <f>SUMIF($C$9:$C$16,"Tenant",H9:H16)</f>
        <v>0</v>
      </c>
    </row>
    <row r="18" spans="1:8" ht="9.9499999999999993" customHeight="1" x14ac:dyDescent="0.25"/>
    <row r="19" spans="1:8" ht="18.75" x14ac:dyDescent="0.3">
      <c r="A19" s="957" t="s">
        <v>137</v>
      </c>
      <c r="B19" s="958"/>
      <c r="C19" s="958"/>
      <c r="D19" s="958"/>
      <c r="E19" s="958"/>
      <c r="F19" s="958"/>
      <c r="G19" s="958"/>
      <c r="H19" s="959"/>
    </row>
    <row r="20" spans="1:8" ht="15" customHeight="1" x14ac:dyDescent="0.25">
      <c r="A20" s="880" t="s">
        <v>1072</v>
      </c>
      <c r="B20" s="956"/>
      <c r="C20" s="956"/>
      <c r="D20" s="701"/>
      <c r="E20" s="701"/>
      <c r="F20" s="701"/>
      <c r="G20" s="701"/>
      <c r="H20" s="702"/>
    </row>
    <row r="21" spans="1:8" x14ac:dyDescent="0.25">
      <c r="A21" s="177"/>
      <c r="D21" s="599" t="s">
        <v>57</v>
      </c>
      <c r="E21" s="599" t="s">
        <v>58</v>
      </c>
      <c r="F21" s="599" t="s">
        <v>59</v>
      </c>
      <c r="G21" s="599" t="s">
        <v>60</v>
      </c>
      <c r="H21" s="599" t="s">
        <v>61</v>
      </c>
    </row>
    <row r="22" spans="1:8" x14ac:dyDescent="0.25">
      <c r="A22" s="181"/>
      <c r="B22" s="182"/>
      <c r="C22" s="182"/>
      <c r="D22" s="327">
        <v>0</v>
      </c>
      <c r="E22" s="327">
        <v>0</v>
      </c>
      <c r="F22" s="327">
        <v>0</v>
      </c>
      <c r="G22" s="327">
        <v>0</v>
      </c>
      <c r="H22" s="327">
        <v>0</v>
      </c>
    </row>
    <row r="35" s="237" customFormat="1" x14ac:dyDescent="0.25"/>
  </sheetData>
  <sheetProtection algorithmName="SHA-512" hashValue="6ihWtp6nTtjbYx1ZIuz1bpImW1OlCEAAEIUTV+gZAAZmnD5ljlKP1T6OG/YSVWZABeSoae5gQ+xLLCfIN/cDjA==" saltValue="kOiuIQR4mfKhjKBajgjzPw==" spinCount="100000" sheet="1" objects="1" scenarios="1"/>
  <mergeCells count="9">
    <mergeCell ref="A20:C20"/>
    <mergeCell ref="D20:H20"/>
    <mergeCell ref="A19:H19"/>
    <mergeCell ref="A5:H6"/>
    <mergeCell ref="A1:H1"/>
    <mergeCell ref="B2:H2"/>
    <mergeCell ref="B7:E7"/>
    <mergeCell ref="F7:G7"/>
    <mergeCell ref="B3:D3"/>
  </mergeCells>
  <printOptions horizontalCentered="1"/>
  <pageMargins left="0.25" right="0.25" top="1" bottom="0.25" header="0.3" footer="0.3"/>
  <pageSetup orientation="portrait" horizontalDpi="12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A0A536A-E43C-4400-8BD7-418BAD584DB2}">
          <x14:formula1>
            <xm:f>'Project Summary'!$Q$171:$Q$173</xm:f>
          </x14:formula1>
          <xm:sqref>B9:B11</xm:sqref>
        </x14:dataValidation>
        <x14:dataValidation type="list" allowBlank="1" showInputMessage="1" showErrorMessage="1" xr:uid="{B36D35C1-6652-45F5-AE82-E700A9FA36A9}">
          <x14:formula1>
            <xm:f>'Project Summary'!$Q$175:$Q$176</xm:f>
          </x14:formula1>
          <xm:sqref>C9:C16</xm:sqref>
        </x14:dataValidation>
        <x14:dataValidation type="list" allowBlank="1" showInputMessage="1" showErrorMessage="1" xr:uid="{EF39410D-8D58-43E9-BF93-6A443323CFF8}">
          <x14:formula1>
            <xm:f>'Project Summary'!$Q$184:$Q$187</xm:f>
          </x14:formula1>
          <xm:sqref>D20:H20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C09F0-DFFC-4D62-AE44-BB9780BBEDDD}">
  <sheetPr>
    <pageSetUpPr fitToPage="1"/>
  </sheetPr>
  <dimension ref="A1:U118"/>
  <sheetViews>
    <sheetView zoomScale="85" zoomScaleNormal="85" workbookViewId="0">
      <selection activeCell="M28" sqref="M28:N28"/>
    </sheetView>
  </sheetViews>
  <sheetFormatPr defaultRowHeight="15" x14ac:dyDescent="0.25"/>
  <cols>
    <col min="1" max="1" width="2.7109375" customWidth="1"/>
    <col min="2" max="2" width="10.85546875" customWidth="1"/>
    <col min="3" max="3" width="8.85546875" customWidth="1"/>
    <col min="4" max="4" width="7.5703125" customWidth="1"/>
    <col min="5" max="5" width="8.28515625" customWidth="1"/>
    <col min="6" max="6" width="7.5703125" bestFit="1" customWidth="1"/>
    <col min="7" max="7" width="16.42578125" bestFit="1" customWidth="1"/>
    <col min="8" max="8" width="19.85546875" bestFit="1" customWidth="1"/>
    <col min="9" max="9" width="8.42578125" bestFit="1" customWidth="1"/>
    <col min="10" max="10" width="11.42578125" bestFit="1" customWidth="1"/>
    <col min="11" max="16" width="9.140625" customWidth="1"/>
    <col min="17" max="21" width="9.140625" style="366" customWidth="1"/>
    <col min="22" max="27" width="9.140625" customWidth="1"/>
  </cols>
  <sheetData>
    <row r="1" spans="1:21" ht="18.75" x14ac:dyDescent="0.3">
      <c r="A1" s="805" t="s">
        <v>384</v>
      </c>
      <c r="B1" s="805"/>
      <c r="C1" s="805"/>
      <c r="D1" s="805"/>
      <c r="E1" s="805"/>
      <c r="F1" s="805"/>
      <c r="G1" s="805"/>
      <c r="H1" s="805"/>
    </row>
    <row r="2" spans="1:21" x14ac:dyDescent="0.25">
      <c r="A2" s="679" t="s">
        <v>13</v>
      </c>
      <c r="B2" s="679"/>
      <c r="C2" s="991" t="str">
        <f>IF('Project Summary'!$C$8&lt;1,"",'Project Summary'!$C$8)</f>
        <v/>
      </c>
      <c r="D2" s="992"/>
      <c r="E2" s="992"/>
      <c r="F2" s="992"/>
      <c r="G2" s="992"/>
      <c r="H2" s="993"/>
      <c r="I2" s="209"/>
    </row>
    <row r="3" spans="1:21" x14ac:dyDescent="0.25">
      <c r="A3" s="679" t="s">
        <v>11</v>
      </c>
      <c r="B3" s="679"/>
      <c r="C3" s="978" t="str">
        <f>IF('Project Summary'!$C$5&lt;1,"",'Project Summary'!$C$5)</f>
        <v/>
      </c>
      <c r="D3" s="978"/>
      <c r="E3" s="978"/>
      <c r="Q3" s="367" t="s">
        <v>689</v>
      </c>
      <c r="R3" s="367" t="s">
        <v>690</v>
      </c>
      <c r="T3" s="367" t="s">
        <v>689</v>
      </c>
      <c r="U3" s="367" t="s">
        <v>690</v>
      </c>
    </row>
    <row r="4" spans="1:21" ht="9.9499999999999993" customHeight="1" x14ac:dyDescent="0.25">
      <c r="A4" s="109"/>
      <c r="B4" s="109"/>
      <c r="C4" s="379"/>
      <c r="D4" s="379"/>
      <c r="E4" s="379"/>
      <c r="Q4" s="367"/>
      <c r="R4" s="367"/>
      <c r="T4" s="367"/>
      <c r="U4" s="367"/>
    </row>
    <row r="5" spans="1:21" ht="15.75" x14ac:dyDescent="0.25">
      <c r="A5" s="683" t="s">
        <v>167</v>
      </c>
      <c r="B5" s="683"/>
      <c r="C5" s="683"/>
      <c r="D5" s="683"/>
      <c r="E5" s="683"/>
      <c r="F5" s="683"/>
      <c r="G5" s="683"/>
      <c r="H5" s="683"/>
      <c r="Q5" s="367" t="s">
        <v>692</v>
      </c>
      <c r="R5" s="367" t="s">
        <v>688</v>
      </c>
      <c r="T5" s="367" t="s">
        <v>693</v>
      </c>
      <c r="U5" s="367" t="s">
        <v>694</v>
      </c>
    </row>
    <row r="6" spans="1:21" ht="15" customHeight="1" x14ac:dyDescent="0.25">
      <c r="A6" s="126"/>
      <c r="B6" s="210" t="s">
        <v>168</v>
      </c>
      <c r="C6" s="994" t="s">
        <v>670</v>
      </c>
      <c r="D6" s="995"/>
      <c r="E6" s="210" t="s">
        <v>169</v>
      </c>
      <c r="F6" s="210" t="s">
        <v>236</v>
      </c>
      <c r="G6" s="210" t="s">
        <v>170</v>
      </c>
      <c r="H6" s="210" t="s">
        <v>686</v>
      </c>
      <c r="I6" s="211"/>
      <c r="K6" s="973" t="s">
        <v>683</v>
      </c>
      <c r="L6" s="974"/>
      <c r="M6" s="974"/>
      <c r="N6" s="974"/>
      <c r="O6" s="975"/>
      <c r="Q6" s="367" t="s">
        <v>691</v>
      </c>
      <c r="R6" s="367" t="s">
        <v>691</v>
      </c>
      <c r="T6" s="367" t="s">
        <v>691</v>
      </c>
      <c r="U6" s="367" t="s">
        <v>691</v>
      </c>
    </row>
    <row r="7" spans="1:21" ht="15" customHeight="1" x14ac:dyDescent="0.25">
      <c r="B7" s="29"/>
      <c r="C7" s="979"/>
      <c r="D7" s="980"/>
      <c r="E7" s="30"/>
      <c r="F7" s="29"/>
      <c r="G7" s="3">
        <v>0</v>
      </c>
      <c r="H7" s="4">
        <f t="shared" ref="H7:H16" si="0">E7*G7*12</f>
        <v>0</v>
      </c>
      <c r="I7" s="213"/>
      <c r="K7" s="216" t="str">
        <f>K$30</f>
        <v>Efficiency</v>
      </c>
      <c r="L7" s="216">
        <f>L$30</f>
        <v>1</v>
      </c>
      <c r="M7" s="216">
        <f>M$30</f>
        <v>2</v>
      </c>
      <c r="N7" s="216">
        <f>N$30</f>
        <v>3</v>
      </c>
      <c r="O7" s="216">
        <f>O$30</f>
        <v>4</v>
      </c>
      <c r="Q7" s="368" t="str">
        <f>_xlfn.IFNA(IF(AND('Project Summary'!$C$19="Yes",$F7="Yes"),MAX(INDEX($K$8:$O$16,1,MATCH($B7,$K$7:$O$7,0)),INDEX($K$8:$O$16,MATCH($C7,$J$8:$J$16,0),MATCH($B7,$K$7:$O$7,0))),INDEX($K$8:$O$16,MATCH($C7,$J$8:$J$16,0),MATCH($B7,$K$7:$O$7,0))),"")</f>
        <v/>
      </c>
      <c r="R7" s="367" t="str">
        <f t="shared" ref="R7:R47" si="1">IF($Q7="","",$Q7-INDEX($K$24:$O$24,1,MATCH($B7,$K$23:$O$23,0)))</f>
        <v/>
      </c>
      <c r="T7" s="367" t="str">
        <f>_xlfn.IFNA(IF(AND(OR('Project Summary'!$C$44="No",'Project Summary'!$C$44=""),OR('Project Summary'!$C$89="No",'Project Summary'!$C$89="")),"",IF(AND($F7="Yes",$C7&lt;=30%),MAX(INDEX($K$8:$O$16,1,MATCH($B7,$K$7:$O$7,0)),INDEX($K$8:$O$16,MATCH($C7,$J$8:$J$16,0),MATCH($B7,$K$7:$O$7,0))),INDEX($K$8:$O$16,MATCH($C7,$J$8:$J$16,0),MATCH($B7,$K$7:$O$7,0)))),"")</f>
        <v/>
      </c>
      <c r="U7" s="367" t="str">
        <f t="shared" ref="U7:U47" si="2">IF($T7="","",IF(T$7="","",$T7-INDEX($K$24:$O$24,1,MATCH($B7,$K$23:$O$23,0))))</f>
        <v/>
      </c>
    </row>
    <row r="8" spans="1:21" ht="15" customHeight="1" x14ac:dyDescent="0.25">
      <c r="B8" s="29"/>
      <c r="C8" s="979"/>
      <c r="D8" s="980"/>
      <c r="E8" s="30"/>
      <c r="F8" s="29"/>
      <c r="G8" s="3">
        <v>0</v>
      </c>
      <c r="H8" s="4">
        <f t="shared" si="0"/>
        <v>0</v>
      </c>
      <c r="I8" s="213"/>
      <c r="J8" s="119" t="s">
        <v>236</v>
      </c>
      <c r="K8" s="194" t="str">
        <f>IF(OR('UA''s &amp; PBV Standards'!D$22=0,'UA''s &amp; PBV Standards'!D$22=""),"",'UA''s &amp; PBV Standards'!D$22)</f>
        <v/>
      </c>
      <c r="L8" s="194" t="str">
        <f>IF(OR('UA''s &amp; PBV Standards'!E$22=0,'UA''s &amp; PBV Standards'!E$22=""),"",'UA''s &amp; PBV Standards'!E$22)</f>
        <v/>
      </c>
      <c r="M8" s="194" t="str">
        <f>IF(OR('UA''s &amp; PBV Standards'!F$22=0,'UA''s &amp; PBV Standards'!F$22=""),"",'UA''s &amp; PBV Standards'!F$22)</f>
        <v/>
      </c>
      <c r="N8" s="194" t="str">
        <f>IF(OR('UA''s &amp; PBV Standards'!G$22=0,'UA''s &amp; PBV Standards'!G$22=""),"",'UA''s &amp; PBV Standards'!G$22)</f>
        <v/>
      </c>
      <c r="O8" s="194" t="str">
        <f>IF(OR('UA''s &amp; PBV Standards'!H$22=0,'UA''s &amp; PBV Standards'!H$22=""),"",'UA''s &amp; PBV Standards'!H$22)</f>
        <v/>
      </c>
      <c r="Q8" s="368" t="str">
        <f>_xlfn.IFNA(IF(AND('Project Summary'!$C$19="Yes",$F8="Yes"),MAX(INDEX($K$8:$O$16,1,MATCH($B8,$K$7:$O$7,0)),INDEX($K$8:$O$16,MATCH($C8,$J$8:$J$16,0),MATCH($B8,$K$7:$O$7,0))),INDEX($K$8:$O$16,MATCH($C8,$J$8:$J$16,0),MATCH($B8,$K$7:$O$7,0))),"")</f>
        <v/>
      </c>
      <c r="R8" s="367" t="str">
        <f t="shared" si="1"/>
        <v/>
      </c>
      <c r="T8" s="367" t="str">
        <f>_xlfn.IFNA(IF(AND(OR('Project Summary'!$C$44="No",'Project Summary'!$C$44=""),OR('Project Summary'!$C$89="No",'Project Summary'!$C$89="")),"",IF(AND($F8="Yes",$C8&lt;=30%),MAX(INDEX($K$8:$O$16,1,MATCH($B8,$K$7:$O$7,0)),INDEX($K$8:$O$16,MATCH($C8,$J$8:$J$16,0),MATCH($B8,$K$7:$O$7,0))),INDEX($K$8:$O$16,MATCH($C8,$J$8:$J$16,0),MATCH($B8,$K$7:$O$7,0)))),"")</f>
        <v/>
      </c>
      <c r="U8" s="367" t="str">
        <f t="shared" si="2"/>
        <v/>
      </c>
    </row>
    <row r="9" spans="1:21" ht="15" customHeight="1" x14ac:dyDescent="0.25">
      <c r="B9" s="29"/>
      <c r="C9" s="979"/>
      <c r="D9" s="980"/>
      <c r="E9" s="30"/>
      <c r="F9" s="29"/>
      <c r="G9" s="3">
        <v>0</v>
      </c>
      <c r="H9" s="4">
        <f t="shared" si="0"/>
        <v>0</v>
      </c>
      <c r="I9" s="213"/>
      <c r="J9" s="119" t="s">
        <v>952</v>
      </c>
      <c r="K9" s="194" t="str">
        <f ca="1">K50</f>
        <v/>
      </c>
      <c r="L9" s="194" t="str">
        <f ca="1">L50</f>
        <v/>
      </c>
      <c r="M9" s="194" t="str">
        <f ca="1">M50</f>
        <v/>
      </c>
      <c r="N9" s="194" t="str">
        <f ca="1">N50</f>
        <v/>
      </c>
      <c r="O9" s="194" t="str">
        <f ca="1">O50</f>
        <v/>
      </c>
      <c r="Q9" s="368" t="str">
        <f>_xlfn.IFNA(IF(AND('Project Summary'!$C$19="Yes",$F9="Yes"),MAX(INDEX($K$8:$O$16,1,MATCH($B9,$K$7:$O$7,0)),INDEX($K$8:$O$16,MATCH($C9,$J$8:$J$16,0),MATCH($B9,$K$7:$O$7,0))),INDEX($K$8:$O$16,MATCH($C9,$J$8:$J$16,0),MATCH($B9,$K$7:$O$7,0))),"")</f>
        <v/>
      </c>
      <c r="R9" s="367" t="str">
        <f t="shared" si="1"/>
        <v/>
      </c>
      <c r="T9" s="367" t="str">
        <f>_xlfn.IFNA(IF(AND(OR('Project Summary'!$C$44="No",'Project Summary'!$C$44=""),OR('Project Summary'!$C$89="No",'Project Summary'!$C$89="")),"",IF(AND($F9="Yes",$C9&lt;=30%),MAX(INDEX($K$8:$O$16,1,MATCH($B9,$K$7:$O$7,0)),INDEX($K$8:$O$16,MATCH($C9,$J$8:$J$16,0),MATCH($B9,$K$7:$O$7,0))),INDEX($K$8:$O$16,MATCH($C9,$J$8:$J$16,0),MATCH($B9,$K$7:$O$7,0)))),"")</f>
        <v/>
      </c>
      <c r="U9" s="367" t="str">
        <f t="shared" si="2"/>
        <v/>
      </c>
    </row>
    <row r="10" spans="1:21" ht="15" customHeight="1" x14ac:dyDescent="0.25">
      <c r="B10" s="29"/>
      <c r="C10" s="979"/>
      <c r="D10" s="980"/>
      <c r="E10" s="30"/>
      <c r="F10" s="29"/>
      <c r="G10" s="3">
        <v>0</v>
      </c>
      <c r="H10" s="4">
        <f t="shared" si="0"/>
        <v>0</v>
      </c>
      <c r="I10" s="213"/>
      <c r="J10" s="119">
        <v>0.2</v>
      </c>
      <c r="K10" s="194" t="str">
        <f ca="1">K32</f>
        <v/>
      </c>
      <c r="L10" s="194" t="str">
        <f ca="1">L32</f>
        <v/>
      </c>
      <c r="M10" s="194" t="str">
        <f ca="1">M32</f>
        <v/>
      </c>
      <c r="N10" s="194" t="str">
        <f ca="1">N32</f>
        <v/>
      </c>
      <c r="O10" s="194" t="str">
        <f ca="1">O32</f>
        <v/>
      </c>
      <c r="Q10" s="368" t="str">
        <f>_xlfn.IFNA(IF(AND('Project Summary'!$C$19="Yes",$F10="Yes"),MAX(INDEX($K$8:$O$16,1,MATCH($B10,$K$7:$O$7,0)),INDEX($K$8:$O$16,MATCH($C10,$J$8:$J$16,0),MATCH($B10,$K$7:$O$7,0))),INDEX($K$8:$O$16,MATCH($C10,$J$8:$J$16,0),MATCH($B10,$K$7:$O$7,0))),"")</f>
        <v/>
      </c>
      <c r="R10" s="367" t="str">
        <f t="shared" si="1"/>
        <v/>
      </c>
      <c r="T10" s="367" t="str">
        <f>_xlfn.IFNA(IF(AND(OR('Project Summary'!$C$44="No",'Project Summary'!$C$44=""),OR('Project Summary'!$C$89="No",'Project Summary'!$C$89="")),"",IF(AND($F10="Yes",$C10&lt;=30%),MAX(INDEX($K$8:$O$16,1,MATCH($B10,$K$7:$O$7,0)),INDEX($K$8:$O$16,MATCH($C10,$J$8:$J$16,0),MATCH($B10,$K$7:$O$7,0))),INDEX($K$8:$O$16,MATCH($C10,$J$8:$J$16,0),MATCH($B10,$K$7:$O$7,0)))),"")</f>
        <v/>
      </c>
      <c r="U10" s="367" t="str">
        <f t="shared" si="2"/>
        <v/>
      </c>
    </row>
    <row r="11" spans="1:21" ht="15" customHeight="1" x14ac:dyDescent="0.25">
      <c r="B11" s="29"/>
      <c r="C11" s="979"/>
      <c r="D11" s="980"/>
      <c r="E11" s="30"/>
      <c r="F11" s="29"/>
      <c r="G11" s="3">
        <v>0</v>
      </c>
      <c r="H11" s="4">
        <f t="shared" si="0"/>
        <v>0</v>
      </c>
      <c r="I11" s="213"/>
      <c r="J11" s="119">
        <v>0.3</v>
      </c>
      <c r="K11" s="194" t="str">
        <f ca="1">IF(AND(K33="",K44="",K57=""),"",MIN(K33,K44,K57))</f>
        <v/>
      </c>
      <c r="L11" s="194" t="str">
        <f ca="1">IF(AND(L33="",L44="",L57=""),"",MIN(L33,L44,L57))</f>
        <v/>
      </c>
      <c r="M11" s="194" t="str">
        <f ca="1">IF(AND(M33="",M44="",M57=""),"",MIN(M33,M44,M57))</f>
        <v/>
      </c>
      <c r="N11" s="194" t="str">
        <f ca="1">IF(AND(N33="",N44="",N57=""),"",MIN(N33,N44,N57))</f>
        <v/>
      </c>
      <c r="O11" s="194" t="str">
        <f ca="1">IF(AND(O33="",O44="",O57=""),"",MIN(O33,O44,O57))</f>
        <v/>
      </c>
      <c r="Q11" s="368" t="str">
        <f>_xlfn.IFNA(IF(AND('Project Summary'!$C$19="Yes",$F11="Yes"),MAX(INDEX($K$8:$O$16,1,MATCH($B11,$K$7:$O$7,0)),INDEX($K$8:$O$16,MATCH($C11,$J$8:$J$16,0),MATCH($B11,$K$7:$O$7,0))),INDEX($K$8:$O$16,MATCH($C11,$J$8:$J$16,0),MATCH($B11,$K$7:$O$7,0))),"")</f>
        <v/>
      </c>
      <c r="R11" s="367" t="str">
        <f t="shared" si="1"/>
        <v/>
      </c>
      <c r="T11" s="367" t="str">
        <f>_xlfn.IFNA(IF(AND(OR('Project Summary'!$C$44="No",'Project Summary'!$C$44=""),OR('Project Summary'!$C$89="No",'Project Summary'!$C$89="")),"",IF(AND($F11="Yes",$C11&lt;=30%),MAX(INDEX($K$8:$O$16,1,MATCH($B11,$K$7:$O$7,0)),INDEX($K$8:$O$16,MATCH($C11,$J$8:$J$16,0),MATCH($B11,$K$7:$O$7,0))),INDEX($K$8:$O$16,MATCH($C11,$J$8:$J$16,0),MATCH($B11,$K$7:$O$7,0)))),"")</f>
        <v/>
      </c>
      <c r="U11" s="367" t="str">
        <f t="shared" si="2"/>
        <v/>
      </c>
    </row>
    <row r="12" spans="1:21" ht="15" customHeight="1" x14ac:dyDescent="0.25">
      <c r="B12" s="29"/>
      <c r="C12" s="979"/>
      <c r="D12" s="980"/>
      <c r="E12" s="30"/>
      <c r="F12" s="29"/>
      <c r="G12" s="3">
        <v>0</v>
      </c>
      <c r="H12" s="4">
        <f t="shared" si="0"/>
        <v>0</v>
      </c>
      <c r="I12" s="213"/>
      <c r="J12" s="119">
        <v>0.4</v>
      </c>
      <c r="K12" s="194" t="str">
        <f ca="1">K34</f>
        <v/>
      </c>
      <c r="L12" s="194" t="str">
        <f ca="1">L34</f>
        <v/>
      </c>
      <c r="M12" s="194" t="str">
        <f ca="1">M34</f>
        <v/>
      </c>
      <c r="N12" s="194" t="str">
        <f ca="1">N34</f>
        <v/>
      </c>
      <c r="O12" s="194" t="str">
        <f ca="1">O34</f>
        <v/>
      </c>
      <c r="Q12" s="368" t="str">
        <f>_xlfn.IFNA(IF(AND('Project Summary'!$C$19="Yes",$F12="Yes"),MAX(INDEX($K$8:$O$16,1,MATCH($B12,$K$7:$O$7,0)),INDEX($K$8:$O$16,MATCH($C12,$J$8:$J$16,0),MATCH($B12,$K$7:$O$7,0))),INDEX($K$8:$O$16,MATCH($C12,$J$8:$J$16,0),MATCH($B12,$K$7:$O$7,0))),"")</f>
        <v/>
      </c>
      <c r="R12" s="367" t="str">
        <f t="shared" si="1"/>
        <v/>
      </c>
      <c r="T12" s="367" t="str">
        <f>_xlfn.IFNA(IF(AND(OR('Project Summary'!$C$44="No",'Project Summary'!$C$44=""),OR('Project Summary'!$C$89="No",'Project Summary'!$C$89="")),"",IF(AND($F12="Yes",$C12&lt;=30%),MAX(INDEX($K$8:$O$16,1,MATCH($B12,$K$7:$O$7,0)),INDEX($K$8:$O$16,MATCH($C12,$J$8:$J$16,0),MATCH($B12,$K$7:$O$7,0))),INDEX($K$8:$O$16,MATCH($C12,$J$8:$J$16,0),MATCH($B12,$K$7:$O$7,0)))),"")</f>
        <v/>
      </c>
      <c r="U12" s="367" t="str">
        <f t="shared" si="2"/>
        <v/>
      </c>
    </row>
    <row r="13" spans="1:21" ht="15" customHeight="1" x14ac:dyDescent="0.25">
      <c r="B13" s="29"/>
      <c r="C13" s="979"/>
      <c r="D13" s="980"/>
      <c r="E13" s="30"/>
      <c r="F13" s="29"/>
      <c r="G13" s="3">
        <v>0</v>
      </c>
      <c r="H13" s="4">
        <f t="shared" si="0"/>
        <v>0</v>
      </c>
      <c r="I13" s="213"/>
      <c r="J13" s="119">
        <v>0.5</v>
      </c>
      <c r="K13" s="194" t="str">
        <f ca="1">IF(AND(K35="",K58=""),"",MIN(K35,K58))</f>
        <v/>
      </c>
      <c r="L13" s="194" t="str">
        <f ca="1">IF(AND(L35="",L58=""),"",MIN(L35,L58))</f>
        <v/>
      </c>
      <c r="M13" s="194" t="str">
        <f ca="1">IF(AND(M35="",M58=""),"",MIN(M35,M58))</f>
        <v/>
      </c>
      <c r="N13" s="194" t="str">
        <f ca="1">IF(AND(N35="",N58=""),"",MIN(N35,N58))</f>
        <v/>
      </c>
      <c r="O13" s="194" t="str">
        <f ca="1">IF(AND(O35="",O58=""),"",MIN(O35,O58))</f>
        <v/>
      </c>
      <c r="Q13" s="368" t="str">
        <f>_xlfn.IFNA(IF(AND('Project Summary'!$C$19="Yes",$F13="Yes"),MAX(INDEX($K$8:$O$16,1,MATCH($B13,$K$7:$O$7,0)),INDEX($K$8:$O$16,MATCH($C13,$J$8:$J$16,0),MATCH($B13,$K$7:$O$7,0))),INDEX($K$8:$O$16,MATCH($C13,$J$8:$J$16,0),MATCH($B13,$K$7:$O$7,0))),"")</f>
        <v/>
      </c>
      <c r="R13" s="367" t="str">
        <f t="shared" si="1"/>
        <v/>
      </c>
      <c r="T13" s="367" t="str">
        <f>_xlfn.IFNA(IF(AND(OR('Project Summary'!$C$44="No",'Project Summary'!$C$44=""),OR('Project Summary'!$C$89="No",'Project Summary'!$C$89="")),"",IF(AND($F13="Yes",$C13&lt;=30%),MAX(INDEX($K$8:$O$16,1,MATCH($B13,$K$7:$O$7,0)),INDEX($K$8:$O$16,MATCH($C13,$J$8:$J$16,0),MATCH($B13,$K$7:$O$7,0))),INDEX($K$8:$O$16,MATCH($C13,$J$8:$J$16,0),MATCH($B13,$K$7:$O$7,0)))),"")</f>
        <v/>
      </c>
      <c r="U13" s="367" t="str">
        <f t="shared" si="2"/>
        <v/>
      </c>
    </row>
    <row r="14" spans="1:21" ht="15" customHeight="1" x14ac:dyDescent="0.25">
      <c r="B14" s="29"/>
      <c r="C14" s="979"/>
      <c r="D14" s="980"/>
      <c r="E14" s="30"/>
      <c r="F14" s="29"/>
      <c r="G14" s="3">
        <v>0</v>
      </c>
      <c r="H14" s="4">
        <f t="shared" si="0"/>
        <v>0</v>
      </c>
      <c r="I14" s="213"/>
      <c r="J14" s="119">
        <v>0.6</v>
      </c>
      <c r="K14" s="194" t="str">
        <f t="shared" ref="K14:O15" ca="1" si="3">K36</f>
        <v/>
      </c>
      <c r="L14" s="194" t="str">
        <f t="shared" ca="1" si="3"/>
        <v/>
      </c>
      <c r="M14" s="194" t="str">
        <f t="shared" ca="1" si="3"/>
        <v/>
      </c>
      <c r="N14" s="194" t="str">
        <f t="shared" ca="1" si="3"/>
        <v/>
      </c>
      <c r="O14" s="194" t="str">
        <f t="shared" ca="1" si="3"/>
        <v/>
      </c>
      <c r="Q14" s="368" t="str">
        <f>_xlfn.IFNA(IF(AND('Project Summary'!$C$19="Yes",$F14="Yes"),MAX(INDEX($K$8:$O$16,1,MATCH($B14,$K$7:$O$7,0)),INDEX($K$8:$O$16,MATCH($C14,$J$8:$J$16,0),MATCH($B14,$K$7:$O$7,0))),INDEX($K$8:$O$16,MATCH($C14,$J$8:$J$16,0),MATCH($B14,$K$7:$O$7,0))),"")</f>
        <v/>
      </c>
      <c r="R14" s="367" t="str">
        <f t="shared" si="1"/>
        <v/>
      </c>
      <c r="T14" s="367" t="str">
        <f>_xlfn.IFNA(IF(AND(OR('Project Summary'!$C$44="No",'Project Summary'!$C$44=""),OR('Project Summary'!$C$89="No",'Project Summary'!$C$89="")),"",IF(AND($F14="Yes",$C14&lt;=30%),MAX(INDEX($K$8:$O$16,1,MATCH($B14,$K$7:$O$7,0)),INDEX($K$8:$O$16,MATCH($C14,$J$8:$J$16,0),MATCH($B14,$K$7:$O$7,0))),INDEX($K$8:$O$16,MATCH($C14,$J$8:$J$16,0),MATCH($B14,$K$7:$O$7,0)))),"")</f>
        <v/>
      </c>
      <c r="U14" s="367" t="str">
        <f t="shared" si="2"/>
        <v/>
      </c>
    </row>
    <row r="15" spans="1:21" ht="15" customHeight="1" x14ac:dyDescent="0.25">
      <c r="B15" s="29"/>
      <c r="C15" s="979"/>
      <c r="D15" s="980"/>
      <c r="E15" s="30"/>
      <c r="F15" s="29"/>
      <c r="G15" s="3">
        <v>0</v>
      </c>
      <c r="H15" s="4">
        <f t="shared" si="0"/>
        <v>0</v>
      </c>
      <c r="I15" s="213"/>
      <c r="J15" s="119">
        <v>0.7</v>
      </c>
      <c r="K15" s="194" t="str">
        <f t="shared" ca="1" si="3"/>
        <v/>
      </c>
      <c r="L15" s="194" t="str">
        <f t="shared" ca="1" si="3"/>
        <v/>
      </c>
      <c r="M15" s="194" t="str">
        <f t="shared" ca="1" si="3"/>
        <v/>
      </c>
      <c r="N15" s="194" t="str">
        <f t="shared" ca="1" si="3"/>
        <v/>
      </c>
      <c r="O15" s="194" t="str">
        <f t="shared" ca="1" si="3"/>
        <v/>
      </c>
      <c r="Q15" s="368" t="str">
        <f>_xlfn.IFNA(IF(AND('Project Summary'!$C$19="Yes",$F15="Yes"),MAX(INDEX($K$8:$O$16,1,MATCH($B15,$K$7:$O$7,0)),INDEX($K$8:$O$16,MATCH($C15,$J$8:$J$16,0),MATCH($B15,$K$7:$O$7,0))),INDEX($K$8:$O$16,MATCH($C15,$J$8:$J$16,0),MATCH($B15,$K$7:$O$7,0))),"")</f>
        <v/>
      </c>
      <c r="R15" s="367" t="str">
        <f t="shared" si="1"/>
        <v/>
      </c>
      <c r="T15" s="367" t="str">
        <f>_xlfn.IFNA(IF(AND(OR('Project Summary'!$C$44="No",'Project Summary'!$C$44=""),OR('Project Summary'!$C$89="No",'Project Summary'!$C$89="")),"",IF(AND($F15="Yes",$C15&lt;=30%),MAX(INDEX($K$8:$O$16,1,MATCH($B15,$K$7:$O$7,0)),INDEX($K$8:$O$16,MATCH($C15,$J$8:$J$16,0),MATCH($B15,$K$7:$O$7,0))),INDEX($K$8:$O$16,MATCH($C15,$J$8:$J$16,0),MATCH($B15,$K$7:$O$7,0)))),"")</f>
        <v/>
      </c>
      <c r="U15" s="367" t="str">
        <f t="shared" si="2"/>
        <v/>
      </c>
    </row>
    <row r="16" spans="1:21" ht="15" customHeight="1" x14ac:dyDescent="0.25">
      <c r="B16" s="29"/>
      <c r="C16" s="979"/>
      <c r="D16" s="980"/>
      <c r="E16" s="30"/>
      <c r="F16" s="29"/>
      <c r="G16" s="3">
        <v>0</v>
      </c>
      <c r="H16" s="4">
        <f t="shared" si="0"/>
        <v>0</v>
      </c>
      <c r="I16" s="213"/>
      <c r="J16" s="119">
        <v>0.8</v>
      </c>
      <c r="K16" s="194" t="str">
        <f ca="1">IF(AND(K38="",K59=""),"",MIN(K38,K59))</f>
        <v/>
      </c>
      <c r="L16" s="194" t="str">
        <f ca="1">IF(AND(L38="",L59=""),"",MIN(L38,L59))</f>
        <v/>
      </c>
      <c r="M16" s="194" t="str">
        <f ca="1">IF(AND(M38="",M59=""),"",MIN(M38,M59))</f>
        <v/>
      </c>
      <c r="N16" s="194" t="str">
        <f ca="1">IF(AND(N38="",N59=""),"",MIN(N38,N59))</f>
        <v/>
      </c>
      <c r="O16" s="194" t="str">
        <f ca="1">IF(AND(O38="",O59=""),"",MIN(O38,O59))</f>
        <v/>
      </c>
      <c r="Q16" s="368" t="str">
        <f>_xlfn.IFNA(IF(AND('Project Summary'!$C$19="Yes",$F16="Yes"),MAX(INDEX($K$8:$O$16,1,MATCH($B16,$K$7:$O$7,0)),INDEX($K$8:$O$16,MATCH($C16,$J$8:$J$16,0),MATCH($B16,$K$7:$O$7,0))),INDEX($K$8:$O$16,MATCH($C16,$J$8:$J$16,0),MATCH($B16,$K$7:$O$7,0))),"")</f>
        <v/>
      </c>
      <c r="R16" s="367" t="str">
        <f t="shared" si="1"/>
        <v/>
      </c>
      <c r="T16" s="367" t="str">
        <f>_xlfn.IFNA(IF(AND(OR('Project Summary'!$C$44="No",'Project Summary'!$C$44=""),OR('Project Summary'!$C$89="No",'Project Summary'!$C$89="")),"",IF(AND($F16="Yes",$C16&lt;=30%),MAX(INDEX($K$8:$O$16,1,MATCH($B16,$K$7:$O$7,0)),INDEX($K$8:$O$16,MATCH($C16,$J$8:$J$16,0),MATCH($B16,$K$7:$O$7,0))),INDEX($K$8:$O$16,MATCH($C16,$J$8:$J$16,0),MATCH($B16,$K$7:$O$7,0)))),"")</f>
        <v/>
      </c>
      <c r="U16" s="367" t="str">
        <f t="shared" si="2"/>
        <v/>
      </c>
    </row>
    <row r="17" spans="2:21" ht="15" customHeight="1" x14ac:dyDescent="0.25">
      <c r="B17" s="29"/>
      <c r="C17" s="979"/>
      <c r="D17" s="980"/>
      <c r="E17" s="30"/>
      <c r="F17" s="29"/>
      <c r="G17" s="3">
        <v>0</v>
      </c>
      <c r="H17" s="4">
        <f t="shared" ref="H17:H22" si="4">E17*G17*12</f>
        <v>0</v>
      </c>
      <c r="I17" s="213"/>
      <c r="Q17" s="368" t="str">
        <f>_xlfn.IFNA(IF(AND('Project Summary'!$C$19="Yes",$F17="Yes"),MAX(INDEX($K$8:$O$16,1,MATCH($B17,$K$7:$O$7,0)),INDEX($K$8:$O$16,MATCH($C17,$J$8:$J$16,0),MATCH($B17,$K$7:$O$7,0))),INDEX($K$8:$O$16,MATCH($C17,$J$8:$J$16,0),MATCH($B17,$K$7:$O$7,0))),"")</f>
        <v/>
      </c>
      <c r="R17" s="367" t="str">
        <f t="shared" si="1"/>
        <v/>
      </c>
      <c r="T17" s="367" t="str">
        <f>_xlfn.IFNA(IF(AND(OR('Project Summary'!$C$44="No",'Project Summary'!$C$44=""),OR('Project Summary'!$C$89="No",'Project Summary'!$C$89="")),"",IF(AND($F17="Yes",$C17&lt;=30%),MAX(INDEX($K$8:$O$16,1,MATCH($B17,$K$7:$O$7,0)),INDEX($K$8:$O$16,MATCH($C17,$J$8:$J$16,0),MATCH($B17,$K$7:$O$7,0))),INDEX($K$8:$O$16,MATCH($C17,$J$8:$J$16,0),MATCH($B17,$K$7:$O$7,0)))),"")</f>
        <v/>
      </c>
      <c r="U17" s="367" t="str">
        <f t="shared" si="2"/>
        <v/>
      </c>
    </row>
    <row r="18" spans="2:21" ht="15" customHeight="1" x14ac:dyDescent="0.25">
      <c r="B18" s="29"/>
      <c r="C18" s="979"/>
      <c r="D18" s="980"/>
      <c r="E18" s="30"/>
      <c r="F18" s="29"/>
      <c r="G18" s="3">
        <v>0</v>
      </c>
      <c r="H18" s="4">
        <f t="shared" si="4"/>
        <v>0</v>
      </c>
      <c r="I18" s="213"/>
      <c r="K18" s="973" t="s">
        <v>684</v>
      </c>
      <c r="L18" s="974"/>
      <c r="M18" s="974"/>
      <c r="N18" s="974"/>
      <c r="O18" s="975"/>
      <c r="Q18" s="368" t="str">
        <f>_xlfn.IFNA(IF(AND('Project Summary'!$C$19="Yes",$F18="Yes"),MAX(INDEX($K$8:$O$16,1,MATCH($B18,$K$7:$O$7,0)),INDEX($K$8:$O$16,MATCH($C18,$J$8:$J$16,0),MATCH($B18,$K$7:$O$7,0))),INDEX($K$8:$O$16,MATCH($C18,$J$8:$J$16,0),MATCH($B18,$K$7:$O$7,0))),"")</f>
        <v/>
      </c>
      <c r="R18" s="367" t="str">
        <f t="shared" si="1"/>
        <v/>
      </c>
      <c r="T18" s="367" t="str">
        <f>_xlfn.IFNA(IF(AND(OR('Project Summary'!$C$44="No",'Project Summary'!$C$44=""),OR('Project Summary'!$C$89="No",'Project Summary'!$C$89="")),"",IF(AND($F18="Yes",$C18&lt;=30%),MAX(INDEX($K$8:$O$16,1,MATCH($B18,$K$7:$O$7,0)),INDEX($K$8:$O$16,MATCH($C18,$J$8:$J$16,0),MATCH($B18,$K$7:$O$7,0))),INDEX($K$8:$O$16,MATCH($C18,$J$8:$J$16,0),MATCH($B18,$K$7:$O$7,0)))),"")</f>
        <v/>
      </c>
      <c r="U18" s="367" t="str">
        <f t="shared" si="2"/>
        <v/>
      </c>
    </row>
    <row r="19" spans="2:21" ht="15" customHeight="1" x14ac:dyDescent="0.25">
      <c r="B19" s="29"/>
      <c r="C19" s="979"/>
      <c r="D19" s="980"/>
      <c r="E19" s="30"/>
      <c r="F19" s="29"/>
      <c r="G19" s="3">
        <v>0</v>
      </c>
      <c r="H19" s="4">
        <f t="shared" si="4"/>
        <v>0</v>
      </c>
      <c r="I19" s="213"/>
      <c r="K19" s="216" t="s">
        <v>57</v>
      </c>
      <c r="L19" s="216">
        <v>1</v>
      </c>
      <c r="M19" s="216">
        <v>2</v>
      </c>
      <c r="N19" s="216">
        <v>3</v>
      </c>
      <c r="O19" s="216">
        <v>4</v>
      </c>
      <c r="Q19" s="368" t="str">
        <f>_xlfn.IFNA(IF(AND('Project Summary'!$C$19="Yes",$F19="Yes"),MAX(INDEX($K$8:$O$16,1,MATCH($B19,$K$7:$O$7,0)),INDEX($K$8:$O$16,MATCH($C19,$J$8:$J$16,0),MATCH($B19,$K$7:$O$7,0))),INDEX($K$8:$O$16,MATCH($C19,$J$8:$J$16,0),MATCH($B19,$K$7:$O$7,0))),"")</f>
        <v/>
      </c>
      <c r="R19" s="367" t="str">
        <f t="shared" si="1"/>
        <v/>
      </c>
      <c r="T19" s="367" t="str">
        <f>_xlfn.IFNA(IF(AND(OR('Project Summary'!$C$44="No",'Project Summary'!$C$44=""),OR('Project Summary'!$C$89="No",'Project Summary'!$C$89="")),"",IF(AND($F19="Yes",$C19&lt;=30%),MAX(INDEX($K$8:$O$16,1,MATCH($B19,$K$7:$O$7,0)),INDEX($K$8:$O$16,MATCH($C19,$J$8:$J$16,0),MATCH($B19,$K$7:$O$7,0))),INDEX($K$8:$O$16,MATCH($C19,$J$8:$J$16,0),MATCH($B19,$K$7:$O$7,0)))),"")</f>
        <v/>
      </c>
      <c r="U19" s="367" t="str">
        <f t="shared" si="2"/>
        <v/>
      </c>
    </row>
    <row r="20" spans="2:21" ht="15" customHeight="1" x14ac:dyDescent="0.25">
      <c r="B20" s="29"/>
      <c r="C20" s="979"/>
      <c r="D20" s="980"/>
      <c r="E20" s="30"/>
      <c r="F20" s="29"/>
      <c r="G20" s="3">
        <v>0</v>
      </c>
      <c r="H20" s="4">
        <f t="shared" si="4"/>
        <v>0</v>
      </c>
      <c r="I20" s="213"/>
      <c r="K20" s="194" t="str">
        <f>IF(OR('UA''s &amp; PBV Standards'!D$22=0,'UA''s &amp; PBV Standards'!D$22=""),"",'UA''s &amp; PBV Standards'!D$22)</f>
        <v/>
      </c>
      <c r="L20" s="194" t="str">
        <f>IF(OR('UA''s &amp; PBV Standards'!E$22=0,'UA''s &amp; PBV Standards'!E$22=""),"",'UA''s &amp; PBV Standards'!E$22)</f>
        <v/>
      </c>
      <c r="M20" s="194" t="str">
        <f>IF(OR('UA''s &amp; PBV Standards'!F$22=0,'UA''s &amp; PBV Standards'!F$22=""),"",'UA''s &amp; PBV Standards'!F$22)</f>
        <v/>
      </c>
      <c r="N20" s="194" t="str">
        <f>IF(OR('UA''s &amp; PBV Standards'!G$22=0,'UA''s &amp; PBV Standards'!G$22=""),"",'UA''s &amp; PBV Standards'!G$22)</f>
        <v/>
      </c>
      <c r="O20" s="194" t="str">
        <f>IF(OR('UA''s &amp; PBV Standards'!H$22=0,'UA''s &amp; PBV Standards'!H$22=""),"",'UA''s &amp; PBV Standards'!H$22)</f>
        <v/>
      </c>
      <c r="Q20" s="368" t="str">
        <f>_xlfn.IFNA(IF(AND('Project Summary'!$C$19="Yes",$F20="Yes"),MAX(INDEX($K$8:$O$16,1,MATCH($B20,$K$7:$O$7,0)),INDEX($K$8:$O$16,MATCH($C20,$J$8:$J$16,0),MATCH($B20,$K$7:$O$7,0))),INDEX($K$8:$O$16,MATCH($C20,$J$8:$J$16,0),MATCH($B20,$K$7:$O$7,0))),"")</f>
        <v/>
      </c>
      <c r="R20" s="367" t="str">
        <f t="shared" si="1"/>
        <v/>
      </c>
      <c r="T20" s="367" t="str">
        <f>_xlfn.IFNA(IF(AND(OR('Project Summary'!$C$44="No",'Project Summary'!$C$44=""),OR('Project Summary'!$C$89="No",'Project Summary'!$C$89="")),"",IF(AND($F20="Yes",$C20&lt;=30%),MAX(INDEX($K$8:$O$16,1,MATCH($B20,$K$7:$O$7,0)),INDEX($K$8:$O$16,MATCH($C20,$J$8:$J$16,0),MATCH($B20,$K$7:$O$7,0))),INDEX($K$8:$O$16,MATCH($C20,$J$8:$J$16,0),MATCH($B20,$K$7:$O$7,0)))),"")</f>
        <v/>
      </c>
      <c r="U20" s="367" t="str">
        <f t="shared" si="2"/>
        <v/>
      </c>
    </row>
    <row r="21" spans="2:21" ht="15" customHeight="1" x14ac:dyDescent="0.25">
      <c r="B21" s="29"/>
      <c r="C21" s="979"/>
      <c r="D21" s="980"/>
      <c r="E21" s="30"/>
      <c r="F21" s="29"/>
      <c r="G21" s="3">
        <v>0</v>
      </c>
      <c r="H21" s="4">
        <f t="shared" si="4"/>
        <v>0</v>
      </c>
      <c r="I21" s="213"/>
      <c r="K21" s="363"/>
      <c r="L21" s="363"/>
      <c r="M21" s="363"/>
      <c r="N21" s="363"/>
      <c r="O21" s="363"/>
      <c r="Q21" s="368" t="str">
        <f>_xlfn.IFNA(IF(AND('Project Summary'!$C$19="Yes",$F21="Yes"),MAX(INDEX($K$8:$O$16,1,MATCH($B21,$K$7:$O$7,0)),INDEX($K$8:$O$16,MATCH($C21,$J$8:$J$16,0),MATCH($B21,$K$7:$O$7,0))),INDEX($K$8:$O$16,MATCH($C21,$J$8:$J$16,0),MATCH($B21,$K$7:$O$7,0))),"")</f>
        <v/>
      </c>
      <c r="R21" s="367" t="str">
        <f t="shared" si="1"/>
        <v/>
      </c>
      <c r="T21" s="367" t="str">
        <f>_xlfn.IFNA(IF(AND(OR('Project Summary'!$C$44="No",'Project Summary'!$C$44=""),OR('Project Summary'!$C$89="No",'Project Summary'!$C$89="")),"",IF(AND($F21="Yes",$C21&lt;=30%),MAX(INDEX($K$8:$O$16,1,MATCH($B21,$K$7:$O$7,0)),INDEX($K$8:$O$16,MATCH($C21,$J$8:$J$16,0),MATCH($B21,$K$7:$O$7,0))),INDEX($K$8:$O$16,MATCH($C21,$J$8:$J$16,0),MATCH($B21,$K$7:$O$7,0)))),"")</f>
        <v/>
      </c>
      <c r="U21" s="367" t="str">
        <f t="shared" si="2"/>
        <v/>
      </c>
    </row>
    <row r="22" spans="2:21" ht="15" customHeight="1" x14ac:dyDescent="0.25">
      <c r="B22" s="29"/>
      <c r="C22" s="979"/>
      <c r="D22" s="980"/>
      <c r="E22" s="30"/>
      <c r="F22" s="29"/>
      <c r="G22" s="3">
        <v>0</v>
      </c>
      <c r="H22" s="4">
        <f t="shared" si="4"/>
        <v>0</v>
      </c>
      <c r="I22" s="213"/>
      <c r="K22" s="655" t="s">
        <v>685</v>
      </c>
      <c r="L22" s="655"/>
      <c r="M22" s="655"/>
      <c r="N22" s="655"/>
      <c r="O22" s="655"/>
      <c r="Q22" s="368" t="str">
        <f>_xlfn.IFNA(IF(AND('Project Summary'!$C$19="Yes",$F22="Yes"),MAX(INDEX($K$8:$O$16,1,MATCH($B22,$K$7:$O$7,0)),INDEX($K$8:$O$16,MATCH($C22,$J$8:$J$16,0),MATCH($B22,$K$7:$O$7,0))),INDEX($K$8:$O$16,MATCH($C22,$J$8:$J$16,0),MATCH($B22,$K$7:$O$7,0))),"")</f>
        <v/>
      </c>
      <c r="R22" s="367" t="str">
        <f t="shared" si="1"/>
        <v/>
      </c>
      <c r="T22" s="367" t="str">
        <f>_xlfn.IFNA(IF(AND(OR('Project Summary'!$C$44="No",'Project Summary'!$C$44=""),OR('Project Summary'!$C$89="No",'Project Summary'!$C$89="")),"",IF(AND($F22="Yes",$C22&lt;=30%),MAX(INDEX($K$8:$O$16,1,MATCH($B22,$K$7:$O$7,0)),INDEX($K$8:$O$16,MATCH($C22,$J$8:$J$16,0),MATCH($B22,$K$7:$O$7,0))),INDEX($K$8:$O$16,MATCH($C22,$J$8:$J$16,0),MATCH($B22,$K$7:$O$7,0)))),"")</f>
        <v/>
      </c>
      <c r="U22" s="367" t="str">
        <f t="shared" si="2"/>
        <v/>
      </c>
    </row>
    <row r="23" spans="2:21" ht="15" customHeight="1" x14ac:dyDescent="0.25">
      <c r="B23" s="29"/>
      <c r="C23" s="979"/>
      <c r="D23" s="980"/>
      <c r="E23" s="30"/>
      <c r="F23" s="29"/>
      <c r="G23" s="3">
        <v>0</v>
      </c>
      <c r="H23" s="4">
        <f t="shared" ref="H23:H32" si="5">E23*G23*12</f>
        <v>0</v>
      </c>
      <c r="I23" s="213"/>
      <c r="K23" s="216" t="str">
        <f>K$30</f>
        <v>Efficiency</v>
      </c>
      <c r="L23" s="216">
        <f>L$30</f>
        <v>1</v>
      </c>
      <c r="M23" s="216">
        <f>M$30</f>
        <v>2</v>
      </c>
      <c r="N23" s="216">
        <f>N$30</f>
        <v>3</v>
      </c>
      <c r="O23" s="216">
        <f>O$30</f>
        <v>4</v>
      </c>
      <c r="Q23" s="368" t="str">
        <f>_xlfn.IFNA(IF(AND('Project Summary'!$C$19="Yes",$F23="Yes"),MAX(INDEX($K$8:$O$16,1,MATCH($B23,$K$7:$O$7,0)),INDEX($K$8:$O$16,MATCH($C23,$J$8:$J$16,0),MATCH($B23,$K$7:$O$7,0))),INDEX($K$8:$O$16,MATCH($C23,$J$8:$J$16,0),MATCH($B23,$K$7:$O$7,0))),"")</f>
        <v/>
      </c>
      <c r="R23" s="367" t="str">
        <f t="shared" si="1"/>
        <v/>
      </c>
      <c r="T23" s="367" t="str">
        <f>_xlfn.IFNA(IF(AND(OR('Project Summary'!$C$44="No",'Project Summary'!$C$44=""),OR('Project Summary'!$C$89="No",'Project Summary'!$C$89="")),"",IF(AND($F23="Yes",$C23&lt;=30%),MAX(INDEX($K$8:$O$16,1,MATCH($B23,$K$7:$O$7,0)),INDEX($K$8:$O$16,MATCH($C23,$J$8:$J$16,0),MATCH($B23,$K$7:$O$7,0))),INDEX($K$8:$O$16,MATCH($C23,$J$8:$J$16,0),MATCH($B23,$K$7:$O$7,0)))),"")</f>
        <v/>
      </c>
      <c r="U23" s="367" t="str">
        <f t="shared" si="2"/>
        <v/>
      </c>
    </row>
    <row r="24" spans="2:21" ht="15" customHeight="1" x14ac:dyDescent="0.25">
      <c r="B24" s="29"/>
      <c r="C24" s="979"/>
      <c r="D24" s="980"/>
      <c r="E24" s="30"/>
      <c r="F24" s="29"/>
      <c r="G24" s="3">
        <v>0</v>
      </c>
      <c r="H24" s="4">
        <f t="shared" si="5"/>
        <v>0</v>
      </c>
      <c r="I24" s="213"/>
      <c r="K24" s="194" t="str">
        <f>IF(AND(OR('Project Summary'!$C$19="No",'Project Summary'!$C$19=""),OR('Project Summary'!$C$44="No",'Project Summary'!$C$44=""),OR('Project Summary'!$C$89="No",'Project Summary'!$C$89="")),"",'UA''s &amp; PBV Standards'!D17)</f>
        <v/>
      </c>
      <c r="L24" s="194" t="str">
        <f>IF(AND(OR('Project Summary'!$C$19="No",'Project Summary'!$C$19=""),OR('Project Summary'!$C$44="No",'Project Summary'!$C$44=""),OR('Project Summary'!$C$89="No",'Project Summary'!$C$89="")),"",'UA''s &amp; PBV Standards'!E17)</f>
        <v/>
      </c>
      <c r="M24" s="194" t="str">
        <f>IF(AND(OR('Project Summary'!$C$19="No",'Project Summary'!$C$19=""),OR('Project Summary'!$C$44="No",'Project Summary'!$C$44=""),OR('Project Summary'!$C$89="No",'Project Summary'!$C$89="")),"",'UA''s &amp; PBV Standards'!F17)</f>
        <v/>
      </c>
      <c r="N24" s="194" t="str">
        <f>IF(AND(OR('Project Summary'!$C$19="No",'Project Summary'!$C$19=""),OR('Project Summary'!$C$44="No",'Project Summary'!$C$44=""),OR('Project Summary'!$C$89="No",'Project Summary'!$C$89="")),"",'UA''s &amp; PBV Standards'!G17)</f>
        <v/>
      </c>
      <c r="O24" s="194" t="str">
        <f>IF(AND(OR('Project Summary'!$C$19="No",'Project Summary'!$C$19=""),OR('Project Summary'!$C$44="No",'Project Summary'!$C$44=""),OR('Project Summary'!$C$89="No",'Project Summary'!$C$89="")),"",'UA''s &amp; PBV Standards'!H17)</f>
        <v/>
      </c>
      <c r="Q24" s="368" t="str">
        <f>_xlfn.IFNA(IF(AND('Project Summary'!$C$19="Yes",$F24="Yes"),MAX(INDEX($K$8:$O$16,1,MATCH($B24,$K$7:$O$7,0)),INDEX($K$8:$O$16,MATCH($C24,$J$8:$J$16,0),MATCH($B24,$K$7:$O$7,0))),INDEX($K$8:$O$16,MATCH($C24,$J$8:$J$16,0),MATCH($B24,$K$7:$O$7,0))),"")</f>
        <v/>
      </c>
      <c r="R24" s="367" t="str">
        <f t="shared" si="1"/>
        <v/>
      </c>
      <c r="T24" s="367" t="str">
        <f>_xlfn.IFNA(IF(AND(OR('Project Summary'!$C$44="No",'Project Summary'!$C$44=""),OR('Project Summary'!$C$89="No",'Project Summary'!$C$89="")),"",IF(AND($F24="Yes",$C24&lt;=30%),MAX(INDEX($K$8:$O$16,1,MATCH($B24,$K$7:$O$7,0)),INDEX($K$8:$O$16,MATCH($C24,$J$8:$J$16,0),MATCH($B24,$K$7:$O$7,0))),INDEX($K$8:$O$16,MATCH($C24,$J$8:$J$16,0),MATCH($B24,$K$7:$O$7,0)))),"")</f>
        <v/>
      </c>
      <c r="U24" s="367" t="str">
        <f t="shared" si="2"/>
        <v/>
      </c>
    </row>
    <row r="25" spans="2:21" ht="15" customHeight="1" x14ac:dyDescent="0.25">
      <c r="B25" s="29"/>
      <c r="C25" s="979"/>
      <c r="D25" s="980"/>
      <c r="E25" s="30"/>
      <c r="F25" s="29"/>
      <c r="G25" s="3">
        <v>0</v>
      </c>
      <c r="H25" s="4">
        <f t="shared" si="5"/>
        <v>0</v>
      </c>
      <c r="I25" s="213"/>
      <c r="K25" s="363"/>
      <c r="L25" s="363"/>
      <c r="M25" s="363"/>
      <c r="N25" s="363"/>
      <c r="O25" s="363"/>
      <c r="Q25" s="368" t="str">
        <f>_xlfn.IFNA(IF(AND('Project Summary'!$C$19="Yes",$F25="Yes"),MAX(INDEX($K$8:$O$16,1,MATCH($B25,$K$7:$O$7,0)),INDEX($K$8:$O$16,MATCH($C25,$J$8:$J$16,0),MATCH($B25,$K$7:$O$7,0))),INDEX($K$8:$O$16,MATCH($C25,$J$8:$J$16,0),MATCH($B25,$K$7:$O$7,0))),"")</f>
        <v/>
      </c>
      <c r="R25" s="367" t="str">
        <f t="shared" si="1"/>
        <v/>
      </c>
      <c r="T25" s="367" t="str">
        <f>_xlfn.IFNA(IF(AND(OR('Project Summary'!$C$44="No",'Project Summary'!$C$44=""),OR('Project Summary'!$C$89="No",'Project Summary'!$C$89="")),"",IF(AND($F25="Yes",$C25&lt;=30%),MAX(INDEX($K$8:$O$16,1,MATCH($B25,$K$7:$O$7,0)),INDEX($K$8:$O$16,MATCH($C25,$J$8:$J$16,0),MATCH($B25,$K$7:$O$7,0))),INDEX($K$8:$O$16,MATCH($C25,$J$8:$J$16,0),MATCH($B25,$K$7:$O$7,0)))),"")</f>
        <v/>
      </c>
      <c r="U25" s="367" t="str">
        <f t="shared" si="2"/>
        <v/>
      </c>
    </row>
    <row r="26" spans="2:21" ht="15" customHeight="1" x14ac:dyDescent="0.3">
      <c r="B26" s="29"/>
      <c r="C26" s="979"/>
      <c r="D26" s="980"/>
      <c r="E26" s="30"/>
      <c r="F26" s="29"/>
      <c r="G26" s="3">
        <v>0</v>
      </c>
      <c r="H26" s="4">
        <f t="shared" si="5"/>
        <v>0</v>
      </c>
      <c r="I26" s="213"/>
      <c r="K26" s="733" t="s">
        <v>164</v>
      </c>
      <c r="L26" s="733"/>
      <c r="M26" s="733"/>
      <c r="N26" s="733"/>
      <c r="O26" s="212"/>
      <c r="Q26" s="368" t="str">
        <f>_xlfn.IFNA(IF(AND('Project Summary'!$C$19="Yes",$F26="Yes"),MAX(INDEX($K$8:$O$16,1,MATCH($B26,$K$7:$O$7,0)),INDEX($K$8:$O$16,MATCH($C26,$J$8:$J$16,0),MATCH($B26,$K$7:$O$7,0))),INDEX($K$8:$O$16,MATCH($C26,$J$8:$J$16,0),MATCH($B26,$K$7:$O$7,0))),"")</f>
        <v/>
      </c>
      <c r="R26" s="367" t="str">
        <f t="shared" si="1"/>
        <v/>
      </c>
      <c r="T26" s="367" t="str">
        <f>_xlfn.IFNA(IF(AND(OR('Project Summary'!$C$44="No",'Project Summary'!$C$44=""),OR('Project Summary'!$C$89="No",'Project Summary'!$C$89="")),"",IF(AND($F26="Yes",$C26&lt;=30%),MAX(INDEX($K$8:$O$16,1,MATCH($B26,$K$7:$O$7,0)),INDEX($K$8:$O$16,MATCH($C26,$J$8:$J$16,0),MATCH($B26,$K$7:$O$7,0))),INDEX($K$8:$O$16,MATCH($C26,$J$8:$J$16,0),MATCH($B26,$K$7:$O$7,0)))),"")</f>
        <v/>
      </c>
      <c r="U26" s="367" t="str">
        <f t="shared" si="2"/>
        <v/>
      </c>
    </row>
    <row r="27" spans="2:21" ht="15" customHeight="1" x14ac:dyDescent="0.3">
      <c r="B27" s="29"/>
      <c r="C27" s="979"/>
      <c r="D27" s="980"/>
      <c r="E27" s="30"/>
      <c r="F27" s="29"/>
      <c r="G27" s="3">
        <v>0</v>
      </c>
      <c r="H27" s="4">
        <f t="shared" si="5"/>
        <v>0</v>
      </c>
      <c r="I27" s="213"/>
      <c r="J27" s="212"/>
      <c r="K27" s="977" t="s">
        <v>78</v>
      </c>
      <c r="L27" s="977"/>
      <c r="M27" s="733" t="str">
        <f>IF(ISBLANK('Project Summary'!$C$13),"",'Project Summary'!$C$13)</f>
        <v/>
      </c>
      <c r="N27" s="733"/>
      <c r="O27" s="212"/>
      <c r="Q27" s="368" t="str">
        <f>_xlfn.IFNA(IF(AND('Project Summary'!$C$19="Yes",$F27="Yes"),MAX(INDEX($K$8:$O$16,1,MATCH($B27,$K$7:$O$7,0)),INDEX($K$8:$O$16,MATCH($C27,$J$8:$J$16,0),MATCH($B27,$K$7:$O$7,0))),INDEX($K$8:$O$16,MATCH($C27,$J$8:$J$16,0),MATCH($B27,$K$7:$O$7,0))),"")</f>
        <v/>
      </c>
      <c r="R27" s="367" t="str">
        <f t="shared" si="1"/>
        <v/>
      </c>
      <c r="T27" s="367" t="str">
        <f>_xlfn.IFNA(IF(AND(OR('Project Summary'!$C$44="No",'Project Summary'!$C$44=""),OR('Project Summary'!$C$89="No",'Project Summary'!$C$89="")),"",IF(AND($F27="Yes",$C27&lt;=30%),MAX(INDEX($K$8:$O$16,1,MATCH($B27,$K$7:$O$7,0)),INDEX($K$8:$O$16,MATCH($C27,$J$8:$J$16,0),MATCH($B27,$K$7:$O$7,0))),INDEX($K$8:$O$16,MATCH($C27,$J$8:$J$16,0),MATCH($B27,$K$7:$O$7,0)))),"")</f>
        <v/>
      </c>
      <c r="U27" s="367" t="str">
        <f t="shared" si="2"/>
        <v/>
      </c>
    </row>
    <row r="28" spans="2:21" ht="15" customHeight="1" x14ac:dyDescent="0.3">
      <c r="B28" s="29"/>
      <c r="C28" s="979"/>
      <c r="D28" s="980"/>
      <c r="E28" s="30"/>
      <c r="F28" s="29"/>
      <c r="G28" s="3">
        <v>0</v>
      </c>
      <c r="H28" s="4">
        <f t="shared" si="5"/>
        <v>0</v>
      </c>
      <c r="I28" s="213"/>
      <c r="J28" s="977" t="s">
        <v>1111</v>
      </c>
      <c r="K28" s="977"/>
      <c r="L28" s="977"/>
      <c r="M28" s="976" t="s">
        <v>1121</v>
      </c>
      <c r="N28" s="976"/>
      <c r="O28" s="214"/>
      <c r="Q28" s="368" t="str">
        <f>_xlfn.IFNA(IF(AND('Project Summary'!$C$19="Yes",$F28="Yes"),MAX(INDEX($K$8:$O$16,1,MATCH($B28,$K$7:$O$7,0)),INDEX($K$8:$O$16,MATCH($C28,$J$8:$J$16,0),MATCH($B28,$K$7:$O$7,0))),INDEX($K$8:$O$16,MATCH($C28,$J$8:$J$16,0),MATCH($B28,$K$7:$O$7,0))),"")</f>
        <v/>
      </c>
      <c r="R28" s="367" t="str">
        <f t="shared" si="1"/>
        <v/>
      </c>
      <c r="T28" s="367" t="str">
        <f>_xlfn.IFNA(IF(AND(OR('Project Summary'!$C$44="No",'Project Summary'!$C$44=""),OR('Project Summary'!$C$89="No",'Project Summary'!$C$89="")),"",IF(AND($F28="Yes",$C28&lt;=30%),MAX(INDEX($K$8:$O$16,1,MATCH($B28,$K$7:$O$7,0)),INDEX($K$8:$O$16,MATCH($C28,$J$8:$J$16,0),MATCH($B28,$K$7:$O$7,0))),INDEX($K$8:$O$16,MATCH($C28,$J$8:$J$16,0),MATCH($B28,$K$7:$O$7,0)))),"")</f>
        <v/>
      </c>
      <c r="U28" s="367" t="str">
        <f t="shared" si="2"/>
        <v/>
      </c>
    </row>
    <row r="29" spans="2:21" ht="15" customHeight="1" x14ac:dyDescent="0.25">
      <c r="B29" s="29"/>
      <c r="C29" s="979"/>
      <c r="D29" s="980"/>
      <c r="E29" s="30"/>
      <c r="F29" s="29"/>
      <c r="G29" s="3">
        <v>0</v>
      </c>
      <c r="H29" s="4">
        <f t="shared" si="5"/>
        <v>0</v>
      </c>
      <c r="I29" s="213"/>
      <c r="K29" s="655" t="s">
        <v>3</v>
      </c>
      <c r="L29" s="655"/>
      <c r="M29" s="655"/>
      <c r="N29" s="655"/>
      <c r="O29" s="655"/>
      <c r="Q29" s="368" t="str">
        <f>_xlfn.IFNA(IF(AND('Project Summary'!$C$19="Yes",$F29="Yes"),MAX(INDEX($K$8:$O$16,1,MATCH($B29,$K$7:$O$7,0)),INDEX($K$8:$O$16,MATCH($C29,$J$8:$J$16,0),MATCH($B29,$K$7:$O$7,0))),INDEX($K$8:$O$16,MATCH($C29,$J$8:$J$16,0),MATCH($B29,$K$7:$O$7,0))),"")</f>
        <v/>
      </c>
      <c r="R29" s="367" t="str">
        <f t="shared" si="1"/>
        <v/>
      </c>
      <c r="T29" s="367" t="str">
        <f>_xlfn.IFNA(IF(AND(OR('Project Summary'!$C$44="No",'Project Summary'!$C$44=""),OR('Project Summary'!$C$89="No",'Project Summary'!$C$89="")),"",IF(AND($F29="Yes",$C29&lt;=30%),MAX(INDEX($K$8:$O$16,1,MATCH($B29,$K$7:$O$7,0)),INDEX($K$8:$O$16,MATCH($C29,$J$8:$J$16,0),MATCH($B29,$K$7:$O$7,0))),INDEX($K$8:$O$16,MATCH($C29,$J$8:$J$16,0),MATCH($B29,$K$7:$O$7,0)))),"")</f>
        <v/>
      </c>
      <c r="U29" s="367" t="str">
        <f t="shared" si="2"/>
        <v/>
      </c>
    </row>
    <row r="30" spans="2:21" ht="15" customHeight="1" x14ac:dyDescent="0.25">
      <c r="B30" s="29"/>
      <c r="C30" s="979"/>
      <c r="D30" s="980"/>
      <c r="E30" s="30"/>
      <c r="F30" s="29"/>
      <c r="G30" s="3">
        <v>0</v>
      </c>
      <c r="H30" s="4">
        <f t="shared" si="5"/>
        <v>0</v>
      </c>
      <c r="I30" s="213"/>
      <c r="J30" s="215"/>
      <c r="K30" s="216" t="s">
        <v>57</v>
      </c>
      <c r="L30" s="216">
        <v>1</v>
      </c>
      <c r="M30" s="216">
        <v>2</v>
      </c>
      <c r="N30" s="216">
        <v>3</v>
      </c>
      <c r="O30" s="216">
        <v>4</v>
      </c>
      <c r="Q30" s="368" t="str">
        <f>_xlfn.IFNA(IF(AND('Project Summary'!$C$19="Yes",$F30="Yes"),MAX(INDEX($K$8:$O$16,1,MATCH($B30,$K$7:$O$7,0)),INDEX($K$8:$O$16,MATCH($C30,$J$8:$J$16,0),MATCH($B30,$K$7:$O$7,0))),INDEX($K$8:$O$16,MATCH($C30,$J$8:$J$16,0),MATCH($B30,$K$7:$O$7,0))),"")</f>
        <v/>
      </c>
      <c r="R30" s="367" t="str">
        <f t="shared" si="1"/>
        <v/>
      </c>
      <c r="T30" s="367" t="str">
        <f>_xlfn.IFNA(IF(AND(OR('Project Summary'!$C$44="No",'Project Summary'!$C$44=""),OR('Project Summary'!$C$89="No",'Project Summary'!$C$89="")),"",IF(AND($F30="Yes",$C30&lt;=30%),MAX(INDEX($K$8:$O$16,1,MATCH($B30,$K$7:$O$7,0)),INDEX($K$8:$O$16,MATCH($C30,$J$8:$J$16,0),MATCH($B30,$K$7:$O$7,0))),INDEX($K$8:$O$16,MATCH($C30,$J$8:$J$16,0),MATCH($B30,$K$7:$O$7,0)))),"")</f>
        <v/>
      </c>
      <c r="U30" s="367" t="str">
        <f t="shared" si="2"/>
        <v/>
      </c>
    </row>
    <row r="31" spans="2:21" ht="15" customHeight="1" x14ac:dyDescent="0.25">
      <c r="B31" s="29"/>
      <c r="C31" s="979"/>
      <c r="D31" s="980"/>
      <c r="E31" s="30"/>
      <c r="F31" s="29"/>
      <c r="G31" s="3">
        <v>0</v>
      </c>
      <c r="H31" s="4">
        <f t="shared" si="5"/>
        <v>0</v>
      </c>
      <c r="I31" s="213"/>
      <c r="J31" s="119" t="s">
        <v>236</v>
      </c>
      <c r="K31" s="194" t="str">
        <f>IF(OR('UA''s &amp; PBV Standards'!D$22=0,'UA''s &amp; PBV Standards'!D$22=""),"",'UA''s &amp; PBV Standards'!D$22)</f>
        <v/>
      </c>
      <c r="L31" s="194" t="str">
        <f>IF(OR('UA''s &amp; PBV Standards'!E$22=0,'UA''s &amp; PBV Standards'!E$22=""),"",'UA''s &amp; PBV Standards'!E$22)</f>
        <v/>
      </c>
      <c r="M31" s="194" t="str">
        <f>IF(OR('UA''s &amp; PBV Standards'!F$22=0,'UA''s &amp; PBV Standards'!F$22=""),"",'UA''s &amp; PBV Standards'!F$22)</f>
        <v/>
      </c>
      <c r="N31" s="194" t="str">
        <f>IF(OR('UA''s &amp; PBV Standards'!G$22=0,'UA''s &amp; PBV Standards'!G$22=""),"",'UA''s &amp; PBV Standards'!G$22)</f>
        <v/>
      </c>
      <c r="O31" s="194" t="str">
        <f>IF(OR('UA''s &amp; PBV Standards'!H$22=0,'UA''s &amp; PBV Standards'!H$22=""),"",'UA''s &amp; PBV Standards'!H$22)</f>
        <v/>
      </c>
      <c r="Q31" s="368" t="str">
        <f>_xlfn.IFNA(IF(AND('Project Summary'!$C$19="Yes",$F31="Yes"),MAX(INDEX($K$8:$O$16,1,MATCH($B31,$K$7:$O$7,0)),INDEX($K$8:$O$16,MATCH($C31,$J$8:$J$16,0),MATCH($B31,$K$7:$O$7,0))),INDEX($K$8:$O$16,MATCH($C31,$J$8:$J$16,0),MATCH($B31,$K$7:$O$7,0))),"")</f>
        <v/>
      </c>
      <c r="R31" s="367" t="str">
        <f t="shared" si="1"/>
        <v/>
      </c>
      <c r="T31" s="367" t="str">
        <f>_xlfn.IFNA(IF(AND(OR('Project Summary'!$C$44="No",'Project Summary'!$C$44=""),OR('Project Summary'!$C$89="No",'Project Summary'!$C$89="")),"",IF(AND($F31="Yes",$C31&lt;=30%),MAX(INDEX($K$8:$O$16,1,MATCH($B31,$K$7:$O$7,0)),INDEX($K$8:$O$16,MATCH($C31,$J$8:$J$16,0),MATCH($B31,$K$7:$O$7,0))),INDEX($K$8:$O$16,MATCH($C31,$J$8:$J$16,0),MATCH($B31,$K$7:$O$7,0)))),"")</f>
        <v/>
      </c>
      <c r="U31" s="367" t="str">
        <f t="shared" si="2"/>
        <v/>
      </c>
    </row>
    <row r="32" spans="2:21" ht="15" customHeight="1" x14ac:dyDescent="0.25">
      <c r="B32" s="29"/>
      <c r="C32" s="979"/>
      <c r="D32" s="980"/>
      <c r="E32" s="30"/>
      <c r="F32" s="29"/>
      <c r="G32" s="3">
        <v>0</v>
      </c>
      <c r="H32" s="4">
        <f t="shared" si="5"/>
        <v>0</v>
      </c>
      <c r="I32" s="213"/>
      <c r="J32" s="119">
        <v>0.2</v>
      </c>
      <c r="K32" s="194" t="str" cm="1">
        <f t="array" aca="1" ref="K32" ca="1">IF(OR('Project Summary'!$C$19="No",'Project Summary'!$C$19=""),"",_xlfn.IFNA(IF(OR('Project Summary'!$C$19="Yes",'Project Summary'!$C$19=""),CHOOSE(MATCH($M$27,INDIRECT("'"&amp;$M$28&amp;"'!$A$4:$A$56")),INDIRECT("'"&amp;$M$28&amp;"'!C$4"),INDIRECT("'"&amp;$M$28&amp;"'!C$5"),INDIRECT("'"&amp;$M$28&amp;"'!C$6"),INDIRECT("'"&amp;$M$28&amp;"'!C$7"),INDIRECT("'"&amp;$M$28&amp;"'!C$8"),INDIRECT("'"&amp;$M$28&amp;"'!C$9"),INDIRECT("'"&amp;$M$28&amp;"'!C$10"),INDIRECT("'"&amp;$M$28&amp;"'!C$11"),INDIRECT("'"&amp;$M$28&amp;"'!C$12"),INDIRECT("'"&amp;$M$28&amp;"'!C$13"),INDIRECT("'"&amp;$M$28&amp;"'!C$14"),INDIRECT("'"&amp;$M$28&amp;"'!C$15"),INDIRECT("'"&amp;$M$28&amp;"'!C$16"),INDIRECT("'"&amp;$M$28&amp;"'!C$17"),INDIRECT("'"&amp;$M$28&amp;"'!C$18"),INDIRECT("'"&amp;$M$28&amp;"'!C$19"),INDIRECT("'"&amp;$M$28&amp;"'!C$20"),INDIRECT("'"&amp;$M$28&amp;"'!C$21"),INDIRECT("'"&amp;$M$28&amp;"'!C$22"),INDIRECT("'"&amp;$M$28&amp;"'!C$23"),INDIRECT("'"&amp;$M$28&amp;"'!C$24"),INDIRECT("'"&amp;$M$28&amp;"'!C$25"),INDIRECT("'"&amp;$M$28&amp;"'!C$26"),INDIRECT("'"&amp;$M$28&amp;"'!C$27"),INDIRECT("'"&amp;$M$28&amp;"'!C$28"),INDIRECT("'"&amp;$M$28&amp;"'!C$29"),INDIRECT("'"&amp;$M$28&amp;"'!C$30"),INDIRECT("'"&amp;$M$28&amp;"'!C$31"),INDIRECT("'"&amp;$M$28&amp;"'!C$32"),INDIRECT("'"&amp;$M$28&amp;"'!C$33"),INDIRECT("'"&amp;$M$28&amp;"'!C$34"),INDIRECT("'"&amp;$M$28&amp;"'!C$35"),INDIRECT("'"&amp;$M$28&amp;"'!C$36"),INDIRECT("'"&amp;$M$28&amp;"'!C$37"),INDIRECT("'"&amp;$M$28&amp;"'!C$38"),INDIRECT("'"&amp;$M$28&amp;"'!C$39"),INDIRECT("'"&amp;$M$28&amp;"'!C$40"),INDIRECT("'"&amp;$M$28&amp;"'!C$41"),INDIRECT("'"&amp;$M$28&amp;"'!C$42"),INDIRECT("'"&amp;$M$28&amp;"'!C$43"),INDIRECT("'"&amp;$M$28&amp;"'!C$44"),INDIRECT("'"&amp;$M$28&amp;"'!C$45"),INDIRECT("'"&amp;$M$28&amp;"'!C$46"),INDIRECT("'"&amp;$M$28&amp;"'!C$47"),INDIRECT("'"&amp;$M$28&amp;"'!C$48"),INDIRECT("'"&amp;$M$28&amp;"'!C$49"),INDIRECT("'"&amp;$M$28&amp;"'!C$50"),INDIRECT("'"&amp;$M$28&amp;"'!C$51"),INDIRECT("'"&amp;$M$28&amp;"'!C$52"),INDIRECT("'"&amp;$M$28&amp;"'!C$53"),INDIRECT("'"&amp;$M$28&amp;"'!C$54"),INDIRECT("'"&amp;$M$28&amp;"'!C$55"),INDIRECT("'"&amp;$M$28&amp;"'!C$56")),""),""))</f>
        <v/>
      </c>
      <c r="L32" s="194" t="str" cm="1">
        <f t="array" aca="1" ref="L32" ca="1">IF(OR('Project Summary'!$C$19="No",'Project Summary'!$C$19=""),"",_xlfn.IFNA(IF(OR('Project Summary'!$C$19="Yes",'Project Summary'!$C$19=""),CHOOSE(MATCH($M$27,INDIRECT("'"&amp;$M$28&amp;"'!$A$4:$A$56")),INDIRECT("'"&amp;$M$28&amp;"'!D$4"),INDIRECT("'"&amp;$M$28&amp;"'!D$5"),INDIRECT("'"&amp;$M$28&amp;"'!D$6"),INDIRECT("'"&amp;$M$28&amp;"'!D$7"),INDIRECT("'"&amp;$M$28&amp;"'!D$8"),INDIRECT("'"&amp;$M$28&amp;"'!D$9"),INDIRECT("'"&amp;$M$28&amp;"'!D$10"),INDIRECT("'"&amp;$M$28&amp;"'!D$11"),INDIRECT("'"&amp;$M$28&amp;"'!D$12"),INDIRECT("'"&amp;$M$28&amp;"'!D$13"),INDIRECT("'"&amp;$M$28&amp;"'!D$14"),INDIRECT("'"&amp;$M$28&amp;"'!D$15"),INDIRECT("'"&amp;$M$28&amp;"'!D$16"),INDIRECT("'"&amp;$M$28&amp;"'!D$17"),INDIRECT("'"&amp;$M$28&amp;"'!D$18"),INDIRECT("'"&amp;$M$28&amp;"'!D$19"),INDIRECT("'"&amp;$M$28&amp;"'!D$20"),INDIRECT("'"&amp;$M$28&amp;"'!D$21"),INDIRECT("'"&amp;$M$28&amp;"'!D$22"),INDIRECT("'"&amp;$M$28&amp;"'!D$23"),INDIRECT("'"&amp;$M$28&amp;"'!D$24"),INDIRECT("'"&amp;$M$28&amp;"'!D$25"),INDIRECT("'"&amp;$M$28&amp;"'!D$26"),INDIRECT("'"&amp;$M$28&amp;"'!D$27"),INDIRECT("'"&amp;$M$28&amp;"'!D$28"),INDIRECT("'"&amp;$M$28&amp;"'!D$29"),INDIRECT("'"&amp;$M$28&amp;"'!D$30"),INDIRECT("'"&amp;$M$28&amp;"'!D$31"),INDIRECT("'"&amp;$M$28&amp;"'!D$32"),INDIRECT("'"&amp;$M$28&amp;"'!D$33"),INDIRECT("'"&amp;$M$28&amp;"'!D$34"),INDIRECT("'"&amp;$M$28&amp;"'!D$35"),INDIRECT("'"&amp;$M$28&amp;"'!D$36"),INDIRECT("'"&amp;$M$28&amp;"'!D$37"),INDIRECT("'"&amp;$M$28&amp;"'!D$38"),INDIRECT("'"&amp;$M$28&amp;"'!D$39"),INDIRECT("'"&amp;$M$28&amp;"'!D$40"),INDIRECT("'"&amp;$M$28&amp;"'!D$41"),INDIRECT("'"&amp;$M$28&amp;"'!D$42"),INDIRECT("'"&amp;$M$28&amp;"'!D$43"),INDIRECT("'"&amp;$M$28&amp;"'!D$44"),INDIRECT("'"&amp;$M$28&amp;"'!D$45"),INDIRECT("'"&amp;$M$28&amp;"'!D$46"),INDIRECT("'"&amp;$M$28&amp;"'!D$47"),INDIRECT("'"&amp;$M$28&amp;"'!D$48"),INDIRECT("'"&amp;$M$28&amp;"'!D$49"),INDIRECT("'"&amp;$M$28&amp;"'!D$50"),INDIRECT("'"&amp;$M$28&amp;"'!D$51"),INDIRECT("'"&amp;$M$28&amp;"'!D$52"),INDIRECT("'"&amp;$M$28&amp;"'!D$53"),INDIRECT("'"&amp;$M$28&amp;"'!D$54"),INDIRECT("'"&amp;$M$28&amp;"'!D$55"),INDIRECT("'"&amp;$M$28&amp;"'!D$56")),""),""))</f>
        <v/>
      </c>
      <c r="M32" s="194" t="str" cm="1">
        <f t="array" aca="1" ref="M32" ca="1">IF(OR('Project Summary'!$C$19="No",'Project Summary'!$C$19=""),"",_xlfn.IFNA(IF(OR('Project Summary'!$C$19="Yes",'Project Summary'!$C$19=""),CHOOSE(MATCH($M$27,INDIRECT("'"&amp;$M$28&amp;"'!$A$4:$A$56")),INDIRECT("'"&amp;$M$28&amp;"'!E$4"),INDIRECT("'"&amp;$M$28&amp;"'!E$5"),INDIRECT("'"&amp;$M$28&amp;"'!E$6"),INDIRECT("'"&amp;$M$28&amp;"'!E$7"),INDIRECT("'"&amp;$M$28&amp;"'!E$8"),INDIRECT("'"&amp;$M$28&amp;"'!E$9"),INDIRECT("'"&amp;$M$28&amp;"'!E$10"),INDIRECT("'"&amp;$M$28&amp;"'!E$11"),INDIRECT("'"&amp;$M$28&amp;"'!E$12"),INDIRECT("'"&amp;$M$28&amp;"'!E$13"),INDIRECT("'"&amp;$M$28&amp;"'!E$14"),INDIRECT("'"&amp;$M$28&amp;"'!E$15"),INDIRECT("'"&amp;$M$28&amp;"'!E$16"),INDIRECT("'"&amp;$M$28&amp;"'!E$17"),INDIRECT("'"&amp;$M$28&amp;"'!E$18"),INDIRECT("'"&amp;$M$28&amp;"'!E$19"),INDIRECT("'"&amp;$M$28&amp;"'!E$20"),INDIRECT("'"&amp;$M$28&amp;"'!E$21"),INDIRECT("'"&amp;$M$28&amp;"'!E$22"),INDIRECT("'"&amp;$M$28&amp;"'!E$23"),INDIRECT("'"&amp;$M$28&amp;"'!E$24"),INDIRECT("'"&amp;$M$28&amp;"'!E$25"),INDIRECT("'"&amp;$M$28&amp;"'!E$26"),INDIRECT("'"&amp;$M$28&amp;"'!E$27"),INDIRECT("'"&amp;$M$28&amp;"'!E$28"),INDIRECT("'"&amp;$M$28&amp;"'!E$29"),INDIRECT("'"&amp;$M$28&amp;"'!E$30"),INDIRECT("'"&amp;$M$28&amp;"'!E$31"),INDIRECT("'"&amp;$M$28&amp;"'!E$32"),INDIRECT("'"&amp;$M$28&amp;"'!E$33"),INDIRECT("'"&amp;$M$28&amp;"'!E$34"),INDIRECT("'"&amp;$M$28&amp;"'!E$35"),INDIRECT("'"&amp;$M$28&amp;"'!E$36"),INDIRECT("'"&amp;$M$28&amp;"'!E$37"),INDIRECT("'"&amp;$M$28&amp;"'!E$38"),INDIRECT("'"&amp;$M$28&amp;"'!E$39"),INDIRECT("'"&amp;$M$28&amp;"'!E$40"),INDIRECT("'"&amp;$M$28&amp;"'!E$41"),INDIRECT("'"&amp;$M$28&amp;"'!E$42"),INDIRECT("'"&amp;$M$28&amp;"'!E$43"),INDIRECT("'"&amp;$M$28&amp;"'!E$44"),INDIRECT("'"&amp;$M$28&amp;"'!E$45"),INDIRECT("'"&amp;$M$28&amp;"'!E$46"),INDIRECT("'"&amp;$M$28&amp;"'!E$47"),INDIRECT("'"&amp;$M$28&amp;"'!E$48"),INDIRECT("'"&amp;$M$28&amp;"'!E$49"),INDIRECT("'"&amp;$M$28&amp;"'!E$50"),INDIRECT("'"&amp;$M$28&amp;"'!E$51"),INDIRECT("'"&amp;$M$28&amp;"'!E$52"),INDIRECT("'"&amp;$M$28&amp;"'!E$53"),INDIRECT("'"&amp;$M$28&amp;"'!E$54"),INDIRECT("'"&amp;$M$28&amp;"'!E$55"),INDIRECT("'"&amp;$M$28&amp;"'!E$56")),""),""))</f>
        <v/>
      </c>
      <c r="N32" s="194" t="str" cm="1">
        <f t="array" aca="1" ref="N32" ca="1">IF(OR('Project Summary'!$C$19="No",'Project Summary'!$C$19=""),"",_xlfn.IFNA(IF(OR('Project Summary'!$C$19="Yes",'Project Summary'!$C$19=""),CHOOSE(MATCH($M$27,INDIRECT("'"&amp;$M$28&amp;"'!$A$4:$A$56")),INDIRECT("'"&amp;$M$28&amp;"'!F$4"),INDIRECT("'"&amp;$M$28&amp;"'!F$5"),INDIRECT("'"&amp;$M$28&amp;"'!F$6"),INDIRECT("'"&amp;$M$28&amp;"'!F$7"),INDIRECT("'"&amp;$M$28&amp;"'!F$8"),INDIRECT("'"&amp;$M$28&amp;"'!F$9"),INDIRECT("'"&amp;$M$28&amp;"'!F$10"),INDIRECT("'"&amp;$M$28&amp;"'!F$11"),INDIRECT("'"&amp;$M$28&amp;"'!F$12"),INDIRECT("'"&amp;$M$28&amp;"'!F$13"),INDIRECT("'"&amp;$M$28&amp;"'!F$14"),INDIRECT("'"&amp;$M$28&amp;"'!F$15"),INDIRECT("'"&amp;$M$28&amp;"'!F$16"),INDIRECT("'"&amp;$M$28&amp;"'!F$17"),INDIRECT("'"&amp;$M$28&amp;"'!F$18"),INDIRECT("'"&amp;$M$28&amp;"'!F$19"),INDIRECT("'"&amp;$M$28&amp;"'!F$20"),INDIRECT("'"&amp;$M$28&amp;"'!F$21"),INDIRECT("'"&amp;$M$28&amp;"'!F$22"),INDIRECT("'"&amp;$M$28&amp;"'!F$23"),INDIRECT("'"&amp;$M$28&amp;"'!F$24"),INDIRECT("'"&amp;$M$28&amp;"'!F$25"),INDIRECT("'"&amp;$M$28&amp;"'!F$26"),INDIRECT("'"&amp;$M$28&amp;"'!F$27"),INDIRECT("'"&amp;$M$28&amp;"'!F$28"),INDIRECT("'"&amp;$M$28&amp;"'!F$29"),INDIRECT("'"&amp;$M$28&amp;"'!F$30"),INDIRECT("'"&amp;$M$28&amp;"'!F$31"),INDIRECT("'"&amp;$M$28&amp;"'!F$32"),INDIRECT("'"&amp;$M$28&amp;"'!F$33"),INDIRECT("'"&amp;$M$28&amp;"'!F$34"),INDIRECT("'"&amp;$M$28&amp;"'!F$35"),INDIRECT("'"&amp;$M$28&amp;"'!F$36"),INDIRECT("'"&amp;$M$28&amp;"'!F$37"),INDIRECT("'"&amp;$M$28&amp;"'!F$38"),INDIRECT("'"&amp;$M$28&amp;"'!F$39"),INDIRECT("'"&amp;$M$28&amp;"'!F$40"),INDIRECT("'"&amp;$M$28&amp;"'!F$41"),INDIRECT("'"&amp;$M$28&amp;"'!F$42"),INDIRECT("'"&amp;$M$28&amp;"'!F$43"),INDIRECT("'"&amp;$M$28&amp;"'!F$44"),INDIRECT("'"&amp;$M$28&amp;"'!F$45"),INDIRECT("'"&amp;$M$28&amp;"'!F$46"),INDIRECT("'"&amp;$M$28&amp;"'!F$47"),INDIRECT("'"&amp;$M$28&amp;"'!F$48"),INDIRECT("'"&amp;$M$28&amp;"'!F$49"),INDIRECT("'"&amp;$M$28&amp;"'!F$50"),INDIRECT("'"&amp;$M$28&amp;"'!F$51"),INDIRECT("'"&amp;$M$28&amp;"'!F$52"),INDIRECT("'"&amp;$M$28&amp;"'!F$53"),INDIRECT("'"&amp;$M$28&amp;"'!F$54"),INDIRECT("'"&amp;$M$28&amp;"'!F$55"),INDIRECT("'"&amp;$M$28&amp;"'!F$56")),""),""))</f>
        <v/>
      </c>
      <c r="O32" s="194" t="str" cm="1">
        <f t="array" aca="1" ref="O32" ca="1">IF(OR('Project Summary'!$C$19="No",'Project Summary'!$C$19=""),"",_xlfn.IFNA(IF(OR('Project Summary'!$C$19="Yes",'Project Summary'!$C$19=""),CHOOSE(MATCH($M$27,INDIRECT("'"&amp;$M$28&amp;"'!$A$4:$A$56")),INDIRECT("'"&amp;$M$28&amp;"'!G$4"),INDIRECT("'"&amp;$M$28&amp;"'!G$5"),INDIRECT("'"&amp;$M$28&amp;"'!G$6"),INDIRECT("'"&amp;$M$28&amp;"'!G$7"),INDIRECT("'"&amp;$M$28&amp;"'!G$8"),INDIRECT("'"&amp;$M$28&amp;"'!G$9"),INDIRECT("'"&amp;$M$28&amp;"'!G$10"),INDIRECT("'"&amp;$M$28&amp;"'!G$11"),INDIRECT("'"&amp;$M$28&amp;"'!G$12"),INDIRECT("'"&amp;$M$28&amp;"'!G$13"),INDIRECT("'"&amp;$M$28&amp;"'!G$14"),INDIRECT("'"&amp;$M$28&amp;"'!G$15"),INDIRECT("'"&amp;$M$28&amp;"'!G$16"),INDIRECT("'"&amp;$M$28&amp;"'!G$17"),INDIRECT("'"&amp;$M$28&amp;"'!G$18"),INDIRECT("'"&amp;$M$28&amp;"'!G$19"),INDIRECT("'"&amp;$M$28&amp;"'!G$20"),INDIRECT("'"&amp;$M$28&amp;"'!G$21"),INDIRECT("'"&amp;$M$28&amp;"'!G$22"),INDIRECT("'"&amp;$M$28&amp;"'!G$23"),INDIRECT("'"&amp;$M$28&amp;"'!G$24"),INDIRECT("'"&amp;$M$28&amp;"'!G$25"),INDIRECT("'"&amp;$M$28&amp;"'!G$26"),INDIRECT("'"&amp;$M$28&amp;"'!G$27"),INDIRECT("'"&amp;$M$28&amp;"'!G$28"),INDIRECT("'"&amp;$M$28&amp;"'!G$29"),INDIRECT("'"&amp;$M$28&amp;"'!G$30"),INDIRECT("'"&amp;$M$28&amp;"'!G$31"),INDIRECT("'"&amp;$M$28&amp;"'!G$32"),INDIRECT("'"&amp;$M$28&amp;"'!G$33"),INDIRECT("'"&amp;$M$28&amp;"'!G$34"),INDIRECT("'"&amp;$M$28&amp;"'!G$35"),INDIRECT("'"&amp;$M$28&amp;"'!G$36"),INDIRECT("'"&amp;$M$28&amp;"'!G$37"),INDIRECT("'"&amp;$M$28&amp;"'!G$38"),INDIRECT("'"&amp;$M$28&amp;"'!G$39"),INDIRECT("'"&amp;$M$28&amp;"'!G$40"),INDIRECT("'"&amp;$M$28&amp;"'!G$41"),INDIRECT("'"&amp;$M$28&amp;"'!G$42"),INDIRECT("'"&amp;$M$28&amp;"'!G$43"),INDIRECT("'"&amp;$M$28&amp;"'!G$44"),INDIRECT("'"&amp;$M$28&amp;"'!G$45"),INDIRECT("'"&amp;$M$28&amp;"'!G$46"),INDIRECT("'"&amp;$M$28&amp;"'!G$47"),INDIRECT("'"&amp;$M$28&amp;"'!G$48"),INDIRECT("'"&amp;$M$28&amp;"'!G$49"),INDIRECT("'"&amp;$M$28&amp;"'!G$50"),INDIRECT("'"&amp;$M$28&amp;"'!G$51"),INDIRECT("'"&amp;$M$28&amp;"'!G$52"),INDIRECT("'"&amp;$M$28&amp;"'!G$53"),INDIRECT("'"&amp;$M$28&amp;"'!G$54"),INDIRECT("'"&amp;$M$28&amp;"'!G$55"),INDIRECT("'"&amp;$M$28&amp;"'!G$56")),""),""))</f>
        <v/>
      </c>
      <c r="Q32" s="368" t="str">
        <f>_xlfn.IFNA(IF(AND('Project Summary'!$C$19="Yes",$F32="Yes"),MAX(INDEX($K$8:$O$16,1,MATCH($B32,$K$7:$O$7,0)),INDEX($K$8:$O$16,MATCH($C32,$J$8:$J$16,0),MATCH($B32,$K$7:$O$7,0))),INDEX($K$8:$O$16,MATCH($C32,$J$8:$J$16,0),MATCH($B32,$K$7:$O$7,0))),"")</f>
        <v/>
      </c>
      <c r="R32" s="367" t="str">
        <f t="shared" si="1"/>
        <v/>
      </c>
      <c r="T32" s="367" t="str">
        <f>_xlfn.IFNA(IF(AND(OR('Project Summary'!$C$44="No",'Project Summary'!$C$44=""),OR('Project Summary'!$C$89="No",'Project Summary'!$C$89="")),"",IF(AND($F32="Yes",$C32&lt;=30%),MAX(INDEX($K$8:$O$16,1,MATCH($B32,$K$7:$O$7,0)),INDEX($K$8:$O$16,MATCH($C32,$J$8:$J$16,0),MATCH($B32,$K$7:$O$7,0))),INDEX($K$8:$O$16,MATCH($C32,$J$8:$J$16,0),MATCH($B32,$K$7:$O$7,0)))),"")</f>
        <v/>
      </c>
      <c r="U32" s="367" t="str">
        <f t="shared" si="2"/>
        <v/>
      </c>
    </row>
    <row r="33" spans="1:21" ht="15" customHeight="1" x14ac:dyDescent="0.25">
      <c r="B33" s="29"/>
      <c r="C33" s="979"/>
      <c r="D33" s="980"/>
      <c r="E33" s="30"/>
      <c r="F33" s="29"/>
      <c r="G33" s="3">
        <v>0</v>
      </c>
      <c r="H33" s="4">
        <f>E33*G33*12</f>
        <v>0</v>
      </c>
      <c r="I33" s="213"/>
      <c r="J33" s="119">
        <v>0.3</v>
      </c>
      <c r="K33" s="194" t="str" cm="1">
        <f t="array" aca="1" ref="K33" ca="1">IF(OR('Project Summary'!$C$19="No",'Project Summary'!$C$19=""),"",_xlfn.IFNA(IF(OR('Project Summary'!$C$19="Yes",'Project Summary'!$C$19=""),CHOOSE(MATCH($M$27,INDIRECT("'"&amp;$M$28&amp;"'!$A$4:$A$56")),INDIRECT("'"&amp;$M$28&amp;"'!H$4"),INDIRECT("'"&amp;$M$28&amp;"'!H$5"),INDIRECT("'"&amp;$M$28&amp;"'!H$6"),INDIRECT("'"&amp;$M$28&amp;"'!H$7"),INDIRECT("'"&amp;$M$28&amp;"'!H$8"),INDIRECT("'"&amp;$M$28&amp;"'!H$9"),INDIRECT("'"&amp;$M$28&amp;"'!H$10"),INDIRECT("'"&amp;$M$28&amp;"'!H$11"),INDIRECT("'"&amp;$M$28&amp;"'!H$12"),INDIRECT("'"&amp;$M$28&amp;"'!H$13"),INDIRECT("'"&amp;$M$28&amp;"'!H$14"),INDIRECT("'"&amp;$M$28&amp;"'!H$15"),INDIRECT("'"&amp;$M$28&amp;"'!H$16"),INDIRECT("'"&amp;$M$28&amp;"'!H$17"),INDIRECT("'"&amp;$M$28&amp;"'!H$18"),INDIRECT("'"&amp;$M$28&amp;"'!H$19"),INDIRECT("'"&amp;$M$28&amp;"'!H$20"),INDIRECT("'"&amp;$M$28&amp;"'!H$21"),INDIRECT("'"&amp;$M$28&amp;"'!H$22"),INDIRECT("'"&amp;$M$28&amp;"'!H$23"),INDIRECT("'"&amp;$M$28&amp;"'!H$24"),INDIRECT("'"&amp;$M$28&amp;"'!H$25"),INDIRECT("'"&amp;$M$28&amp;"'!!H$26"),INDIRECT("'"&amp;$M$28&amp;"'!H$27"),INDIRECT("'"&amp;$M$28&amp;"'!H$28"),INDIRECT("'"&amp;$M$28&amp;"'!H$29"),INDIRECT("'"&amp;$M$28&amp;"'!H$30"),INDIRECT("'"&amp;$M$28&amp;"'!H$31"),INDIRECT("'"&amp;$M$28&amp;"'!H$32"),INDIRECT("'"&amp;$M$28&amp;"'!H$33"),INDIRECT("'"&amp;$M$28&amp;"'!H$34"),INDIRECT("'"&amp;$M$28&amp;"'!H$35"),INDIRECT("'"&amp;$M$28&amp;"'!H$36"),INDIRECT("'"&amp;$M$28&amp;"'!H$37"),INDIRECT("'"&amp;$M$28&amp;"'!H$38"),INDIRECT("'"&amp;$M$28&amp;"'!H$39"),INDIRECT("'"&amp;$M$28&amp;"'!H$40"),INDIRECT("'"&amp;$M$28&amp;"'!H$41"),INDIRECT("'"&amp;$M$28&amp;"'!H$42"),INDIRECT("'"&amp;$M$28&amp;"'!H$43"),INDIRECT("'"&amp;$M$28&amp;"'!H$44"),INDIRECT("'"&amp;$M$28&amp;"'!H$45"),INDIRECT("'"&amp;$M$28&amp;"'!H$46"),INDIRECT("'"&amp;$M$28&amp;"'!H$47"),INDIRECT("'"&amp;$M$28&amp;"'!H$48"),INDIRECT("'"&amp;$M$28&amp;"'!H$49"),INDIRECT("'"&amp;$M$28&amp;"'!H$50"),INDIRECT("'"&amp;$M$28&amp;"'!H$51"),INDIRECT("'"&amp;$M$28&amp;"'!H$52"),INDIRECT("'"&amp;$M$28&amp;"'!H$53"),INDIRECT("'"&amp;$M$28&amp;"'!H$54"),INDIRECT("'"&amp;$M$28&amp;"'!H$55"),INDIRECT("'"&amp;$M$28&amp;"'!H$56")),""),""))</f>
        <v/>
      </c>
      <c r="L33" s="194" t="str" cm="1">
        <f t="array" aca="1" ref="L33" ca="1">IF(OR('Project Summary'!$C$19="No",'Project Summary'!$C$19=""),"",_xlfn.IFNA(IF(OR('Project Summary'!$C$19="Yes",'Project Summary'!$C$19=""),CHOOSE(MATCH($M$27,INDIRECT("'"&amp;$M$28&amp;"'!$A$4:$A$56")),INDIRECT("'"&amp;$M$28&amp;"'!I$4"),INDIRECT("'"&amp;$M$28&amp;"'!I$5"),INDIRECT("'"&amp;$M$28&amp;"'!I$6"),INDIRECT("'"&amp;$M$28&amp;"'!I$7"),INDIRECT("'"&amp;$M$28&amp;"'!I$8"),INDIRECT("'"&amp;$M$28&amp;"'!I$9"),INDIRECT("'"&amp;$M$28&amp;"'!I$10"),INDIRECT("'"&amp;$M$28&amp;"'!I$11"),INDIRECT("'"&amp;$M$28&amp;"'!I$12"),INDIRECT("'"&amp;$M$28&amp;"'!I$13"),INDIRECT("'"&amp;$M$28&amp;"'!I$14"),INDIRECT("'"&amp;$M$28&amp;"'!I$15"),INDIRECT("'"&amp;$M$28&amp;"'!I$16"),INDIRECT("'"&amp;$M$28&amp;"'!I$17"),INDIRECT("'"&amp;$M$28&amp;"'!I$18"),INDIRECT("'"&amp;$M$28&amp;"'!I$19"),INDIRECT("'"&amp;$M$28&amp;"'!I$20"),INDIRECT("'"&amp;$M$28&amp;"'!I$21"),INDIRECT("'"&amp;$M$28&amp;"'!I$22"),INDIRECT("'"&amp;$M$28&amp;"'!I$23"),INDIRECT("'"&amp;$M$28&amp;"'!I$24"),INDIRECT("'"&amp;$M$28&amp;"'!I$25"),INDIRECT("'"&amp;$M$28&amp;"'!!I$26"),INDIRECT("'"&amp;$M$28&amp;"'!I$27"),INDIRECT("'"&amp;$M$28&amp;"'!I$28"),INDIRECT("'"&amp;$M$28&amp;"'!I$29"),INDIRECT("'"&amp;$M$28&amp;"'!I$30"),INDIRECT("'"&amp;$M$28&amp;"'!I$31"),INDIRECT("'"&amp;$M$28&amp;"'!I$32"),INDIRECT("'"&amp;$M$28&amp;"'!I$33"),INDIRECT("'"&amp;$M$28&amp;"'!I$34"),INDIRECT("'"&amp;$M$28&amp;"'!I$35"),INDIRECT("'"&amp;$M$28&amp;"'!I$36"),INDIRECT("'"&amp;$M$28&amp;"'!I$37"),INDIRECT("'"&amp;$M$28&amp;"'!I$38"),INDIRECT("'"&amp;$M$28&amp;"'!I$39"),INDIRECT("'"&amp;$M$28&amp;"'!I$40"),INDIRECT("'"&amp;$M$28&amp;"'!I$41"),INDIRECT("'"&amp;$M$28&amp;"'!I$42"),INDIRECT("'"&amp;$M$28&amp;"'!I$43"),INDIRECT("'"&amp;$M$28&amp;"'!I$44"),INDIRECT("'"&amp;$M$28&amp;"'!I$45"),INDIRECT("'"&amp;$M$28&amp;"'!I$46"),INDIRECT("'"&amp;$M$28&amp;"'!I$47"),INDIRECT("'"&amp;$M$28&amp;"'!I$48"),INDIRECT("'"&amp;$M$28&amp;"'!I$49"),INDIRECT("'"&amp;$M$28&amp;"'!I$50"),INDIRECT("'"&amp;$M$28&amp;"'!I$51"),INDIRECT("'"&amp;$M$28&amp;"'!I$52"),INDIRECT("'"&amp;$M$28&amp;"'!I$53"),INDIRECT("'"&amp;$M$28&amp;"'!I$54"),INDIRECT("'"&amp;$M$28&amp;"'!I$55"),INDIRECT("'"&amp;$M$28&amp;"'!I$56")),""),""))</f>
        <v/>
      </c>
      <c r="M33" s="194" t="str" cm="1">
        <f t="array" aca="1" ref="M33" ca="1">IF(OR('Project Summary'!$C$19="No",'Project Summary'!$C$19=""),"",_xlfn.IFNA(IF(OR('Project Summary'!$C$19="Yes",'Project Summary'!$C$19=""),CHOOSE(MATCH($M$27,INDIRECT("'"&amp;$M$28&amp;"'!$A$4:$A$56")),INDIRECT("'"&amp;$M$28&amp;"'!J$4"),INDIRECT("'"&amp;$M$28&amp;"'!J$5"),INDIRECT("'"&amp;$M$28&amp;"'!J$6"),INDIRECT("'"&amp;$M$28&amp;"'!J$7"),INDIRECT("'"&amp;$M$28&amp;"'!J$8"),INDIRECT("'"&amp;$M$28&amp;"'!J$9"),INDIRECT("'"&amp;$M$28&amp;"'!J$10"),INDIRECT("'"&amp;$M$28&amp;"'!J$11"),INDIRECT("'"&amp;$M$28&amp;"'!J$12"),INDIRECT("'"&amp;$M$28&amp;"'!J$13"),INDIRECT("'"&amp;$M$28&amp;"'!J$14"),INDIRECT("'"&amp;$M$28&amp;"'!J$15"),INDIRECT("'"&amp;$M$28&amp;"'!J$16"),INDIRECT("'"&amp;$M$28&amp;"'!J$17"),INDIRECT("'"&amp;$M$28&amp;"'!J$18"),INDIRECT("'"&amp;$M$28&amp;"'!J$19"),INDIRECT("'"&amp;$M$28&amp;"'!J$20"),INDIRECT("'"&amp;$M$28&amp;"'!J$21"),INDIRECT("'"&amp;$M$28&amp;"'!J$22"),INDIRECT("'"&amp;$M$28&amp;"'!J$23"),INDIRECT("'"&amp;$M$28&amp;"'!J$24"),INDIRECT("'"&amp;$M$28&amp;"'!J$25"),INDIRECT("'"&amp;$M$28&amp;"'!!J$26"),INDIRECT("'"&amp;$M$28&amp;"'!J$27"),INDIRECT("'"&amp;$M$28&amp;"'!J$28"),INDIRECT("'"&amp;$M$28&amp;"'!J$29"),INDIRECT("'"&amp;$M$28&amp;"'!J$30"),INDIRECT("'"&amp;$M$28&amp;"'!J$31"),INDIRECT("'"&amp;$M$28&amp;"'!J$32"),INDIRECT("'"&amp;$M$28&amp;"'!J$33"),INDIRECT("'"&amp;$M$28&amp;"'!J$34"),INDIRECT("'"&amp;$M$28&amp;"'!J$35"),INDIRECT("'"&amp;$M$28&amp;"'!J$36"),INDIRECT("'"&amp;$M$28&amp;"'!J$37"),INDIRECT("'"&amp;$M$28&amp;"'!J$38"),INDIRECT("'"&amp;$M$28&amp;"'!J$39"),INDIRECT("'"&amp;$M$28&amp;"'!J$40"),INDIRECT("'"&amp;$M$28&amp;"'!J$41"),INDIRECT("'"&amp;$M$28&amp;"'!J$42"),INDIRECT("'"&amp;$M$28&amp;"'!J$43"),INDIRECT("'"&amp;$M$28&amp;"'!J$44"),INDIRECT("'"&amp;$M$28&amp;"'!J$45"),INDIRECT("'"&amp;$M$28&amp;"'!J$46"),INDIRECT("'"&amp;$M$28&amp;"'!J$47"),INDIRECT("'"&amp;$M$28&amp;"'!J$48"),INDIRECT("'"&amp;$M$28&amp;"'!J$49"),INDIRECT("'"&amp;$M$28&amp;"'!J$50"),INDIRECT("'"&amp;$M$28&amp;"'!J$51"),INDIRECT("'"&amp;$M$28&amp;"'!J$52"),INDIRECT("'"&amp;$M$28&amp;"'!J$53"),INDIRECT("'"&amp;$M$28&amp;"'!J$54"),INDIRECT("'"&amp;$M$28&amp;"'!J$55"),INDIRECT("'"&amp;$M$28&amp;"'!J$56")),""),""))</f>
        <v/>
      </c>
      <c r="N33" s="194" t="str" cm="1">
        <f t="array" aca="1" ref="N33" ca="1">IF(OR('Project Summary'!$C$19="No",'Project Summary'!$C$19=""),"",_xlfn.IFNA(IF(OR('Project Summary'!$C$19="Yes",'Project Summary'!$C$19=""),CHOOSE(MATCH($M$27,INDIRECT("'"&amp;$M$28&amp;"'!$A$4:$A$56")),INDIRECT("'"&amp;$M$28&amp;"'!k$4"),INDIRECT("'"&amp;$M$28&amp;"'!k$5"),INDIRECT("'"&amp;$M$28&amp;"'!k$6"),INDIRECT("'"&amp;$M$28&amp;"'!k$7"),INDIRECT("'"&amp;$M$28&amp;"'!k$8"),INDIRECT("'"&amp;$M$28&amp;"'!k$9"),INDIRECT("'"&amp;$M$28&amp;"'!k$10"),INDIRECT("'"&amp;$M$28&amp;"'!k$11"),INDIRECT("'"&amp;$M$28&amp;"'!k$12"),INDIRECT("'"&amp;$M$28&amp;"'!k$13"),INDIRECT("'"&amp;$M$28&amp;"'!k$14"),INDIRECT("'"&amp;$M$28&amp;"'!k$15"),INDIRECT("'"&amp;$M$28&amp;"'!k$16"),INDIRECT("'"&amp;$M$28&amp;"'!k$17"),INDIRECT("'"&amp;$M$28&amp;"'!k$18"),INDIRECT("'"&amp;$M$28&amp;"'!k$19"),INDIRECT("'"&amp;$M$28&amp;"'!k$20"),INDIRECT("'"&amp;$M$28&amp;"'!k$21"),INDIRECT("'"&amp;$M$28&amp;"'!k$22"),INDIRECT("'"&amp;$M$28&amp;"'!k$23"),INDIRECT("'"&amp;$M$28&amp;"'!k$24"),INDIRECT("'"&amp;$M$28&amp;"'!k$25"),INDIRECT("'"&amp;$M$28&amp;"'!!k$26"),INDIRECT("'"&amp;$M$28&amp;"'!k$27"),INDIRECT("'"&amp;$M$28&amp;"'!k$28"),INDIRECT("'"&amp;$M$28&amp;"'!k$29"),INDIRECT("'"&amp;$M$28&amp;"'!k$30"),INDIRECT("'"&amp;$M$28&amp;"'!k$31"),INDIRECT("'"&amp;$M$28&amp;"'!k$32"),INDIRECT("'"&amp;$M$28&amp;"'!k$33"),INDIRECT("'"&amp;$M$28&amp;"'!k$34"),INDIRECT("'"&amp;$M$28&amp;"'!k$35"),INDIRECT("'"&amp;$M$28&amp;"'!k$36"),INDIRECT("'"&amp;$M$28&amp;"'!k$37"),INDIRECT("'"&amp;$M$28&amp;"'!k$38"),INDIRECT("'"&amp;$M$28&amp;"'!k$39"),INDIRECT("'"&amp;$M$28&amp;"'!k$40"),INDIRECT("'"&amp;$M$28&amp;"'!k$41"),INDIRECT("'"&amp;$M$28&amp;"'!k$42"),INDIRECT("'"&amp;$M$28&amp;"'!k$43"),INDIRECT("'"&amp;$M$28&amp;"'!k$44"),INDIRECT("'"&amp;$M$28&amp;"'!k$45"),INDIRECT("'"&amp;$M$28&amp;"'!k$46"),INDIRECT("'"&amp;$M$28&amp;"'!k$47"),INDIRECT("'"&amp;$M$28&amp;"'!k$48"),INDIRECT("'"&amp;$M$28&amp;"'!k$49"),INDIRECT("'"&amp;$M$28&amp;"'!k$50"),INDIRECT("'"&amp;$M$28&amp;"'!k$51"),INDIRECT("'"&amp;$M$28&amp;"'!k$52"),INDIRECT("'"&amp;$M$28&amp;"'!k$53"),INDIRECT("'"&amp;$M$28&amp;"'!k$54"),INDIRECT("'"&amp;$M$28&amp;"'!k$55"),INDIRECT("'"&amp;$M$28&amp;"'!k$56")),""),""))</f>
        <v/>
      </c>
      <c r="O33" s="194" t="str" cm="1">
        <f t="array" aca="1" ref="O33" ca="1">IF(OR('Project Summary'!$C$19="No",'Project Summary'!$C$19=""),"",_xlfn.IFNA(IF(OR('Project Summary'!$C$19="Yes",'Project Summary'!$C$19=""),CHOOSE(MATCH($M$27,INDIRECT("'"&amp;$M$28&amp;"'!$A$4:$A$56")),INDIRECT("'"&amp;$M$28&amp;"'!L$4"),INDIRECT("'"&amp;$M$28&amp;"'!L$5"),INDIRECT("'"&amp;$M$28&amp;"'!L$6"),INDIRECT("'"&amp;$M$28&amp;"'!L$7"),INDIRECT("'"&amp;$M$28&amp;"'!L$8"),INDIRECT("'"&amp;$M$28&amp;"'!L$9"),INDIRECT("'"&amp;$M$28&amp;"'!L$10"),INDIRECT("'"&amp;$M$28&amp;"'!L$11"),INDIRECT("'"&amp;$M$28&amp;"'!L$12"),INDIRECT("'"&amp;$M$28&amp;"'!L$13"),INDIRECT("'"&amp;$M$28&amp;"'!L$14"),INDIRECT("'"&amp;$M$28&amp;"'!L$15"),INDIRECT("'"&amp;$M$28&amp;"'!L$16"),INDIRECT("'"&amp;$M$28&amp;"'!L$17"),INDIRECT("'"&amp;$M$28&amp;"'!L$18"),INDIRECT("'"&amp;$M$28&amp;"'!L$19"),INDIRECT("'"&amp;$M$28&amp;"'!L$20"),INDIRECT("'"&amp;$M$28&amp;"'!L$21"),INDIRECT("'"&amp;$M$28&amp;"'!L$22"),INDIRECT("'"&amp;$M$28&amp;"'!L$23"),INDIRECT("'"&amp;$M$28&amp;"'!L$24"),INDIRECT("'"&amp;$M$28&amp;"'!L$25"),INDIRECT("'"&amp;$M$28&amp;"'!!L$26"),INDIRECT("'"&amp;$M$28&amp;"'!L$27"),INDIRECT("'"&amp;$M$28&amp;"'!L$28"),INDIRECT("'"&amp;$M$28&amp;"'!L$29"),INDIRECT("'"&amp;$M$28&amp;"'!L$30"),INDIRECT("'"&amp;$M$28&amp;"'!L$31"),INDIRECT("'"&amp;$M$28&amp;"'!L$32"),INDIRECT("'"&amp;$M$28&amp;"'!L$33"),INDIRECT("'"&amp;$M$28&amp;"'!L$34"),INDIRECT("'"&amp;$M$28&amp;"'!L$35"),INDIRECT("'"&amp;$M$28&amp;"'!L$36"),INDIRECT("'"&amp;$M$28&amp;"'!L$37"),INDIRECT("'"&amp;$M$28&amp;"'!L$38"),INDIRECT("'"&amp;$M$28&amp;"'!L$39"),INDIRECT("'"&amp;$M$28&amp;"'!L$40"),INDIRECT("'"&amp;$M$28&amp;"'!L$41"),INDIRECT("'"&amp;$M$28&amp;"'!L$42"),INDIRECT("'"&amp;$M$28&amp;"'!L$43"),INDIRECT("'"&amp;$M$28&amp;"'!L$44"),INDIRECT("'"&amp;$M$28&amp;"'!L$45"),INDIRECT("'"&amp;$M$28&amp;"'!L$46"),INDIRECT("'"&amp;$M$28&amp;"'!L$47"),INDIRECT("'"&amp;$M$28&amp;"'!L$48"),INDIRECT("'"&amp;$M$28&amp;"'!L$49"),INDIRECT("'"&amp;$M$28&amp;"'!L$50"),INDIRECT("'"&amp;$M$28&amp;"'!L$51"),INDIRECT("'"&amp;$M$28&amp;"'!L$52"),INDIRECT("'"&amp;$M$28&amp;"'!L$53"),INDIRECT("'"&amp;$M$28&amp;"'!L$54"),INDIRECT("'"&amp;$M$28&amp;"'!L$55"),INDIRECT("'"&amp;$M$28&amp;"'!L$56")),""),""))</f>
        <v/>
      </c>
      <c r="Q33" s="368" t="str">
        <f>_xlfn.IFNA(IF(AND('Project Summary'!$C$19="Yes",$F33="Yes"),MAX(INDEX($K$8:$O$16,1,MATCH($B33,$K$7:$O$7,0)),INDEX($K$8:$O$16,MATCH($C33,$J$8:$J$16,0),MATCH($B33,$K$7:$O$7,0))),INDEX($K$8:$O$16,MATCH($C33,$J$8:$J$16,0),MATCH($B33,$K$7:$O$7,0))),"")</f>
        <v/>
      </c>
      <c r="R33" s="367" t="str">
        <f t="shared" si="1"/>
        <v/>
      </c>
      <c r="T33" s="367" t="str">
        <f>_xlfn.IFNA(IF(AND(OR('Project Summary'!$C$44="No",'Project Summary'!$C$44=""),OR('Project Summary'!$C$89="No",'Project Summary'!$C$89="")),"",IF(AND($F33="Yes",$C33&lt;=30%),MAX(INDEX($K$8:$O$16,1,MATCH($B33,$K$7:$O$7,0)),INDEX($K$8:$O$16,MATCH($C33,$J$8:$J$16,0),MATCH($B33,$K$7:$O$7,0))),INDEX($K$8:$O$16,MATCH($C33,$J$8:$J$16,0),MATCH($B33,$K$7:$O$7,0)))),"")</f>
        <v/>
      </c>
      <c r="U33" s="367" t="str">
        <f t="shared" si="2"/>
        <v/>
      </c>
    </row>
    <row r="34" spans="1:21" ht="15" customHeight="1" x14ac:dyDescent="0.25">
      <c r="B34" s="29"/>
      <c r="C34" s="979"/>
      <c r="D34" s="980"/>
      <c r="E34" s="30"/>
      <c r="F34" s="29"/>
      <c r="G34" s="3">
        <v>0</v>
      </c>
      <c r="H34" s="4">
        <f>E34*G34*12</f>
        <v>0</v>
      </c>
      <c r="I34" s="213"/>
      <c r="J34" s="119">
        <v>0.4</v>
      </c>
      <c r="K34" s="194" t="str" cm="1">
        <f t="array" aca="1" ref="K34" ca="1">IF(OR('Project Summary'!$C$19="No",'Project Summary'!$C$19=""),"",_xlfn.IFNA(IF(OR('Project Summary'!$C$19="Yes",'Project Summary'!$C$19=""),CHOOSE(MATCH($M$27,INDIRECT("'"&amp;$M$28&amp;"'!$A$4:$A$56")),INDIRECT("'"&amp;$M$28&amp;"'!M$4"),INDIRECT("'"&amp;$M$28&amp;"'!M$5"),INDIRECT("'"&amp;$M$28&amp;"'!M$6"),INDIRECT("'"&amp;$M$28&amp;"'!M$7"),INDIRECT("'"&amp;$M$28&amp;"'!M$8"),INDIRECT("'"&amp;$M$28&amp;"'!M$9"),INDIRECT("'"&amp;$M$28&amp;"'!M$10"),INDIRECT("'"&amp;$M$28&amp;"'!M$11"),INDIRECT("'"&amp;$M$28&amp;"'!M$12"),INDIRECT("'"&amp;$M$28&amp;"'!M$13"),INDIRECT("'"&amp;$M$28&amp;"'!M$14"),INDIRECT("'"&amp;$M$28&amp;"'!M$15"),INDIRECT("'"&amp;$M$28&amp;"'!M$16"),INDIRECT("'"&amp;$M$28&amp;"'!M$17"),INDIRECT("'"&amp;$M$28&amp;"'!M$18"),INDIRECT("'"&amp;$M$28&amp;"'!M$19"),INDIRECT("'"&amp;$M$28&amp;"'!M$20"),INDIRECT("'"&amp;$M$28&amp;"'!M$21"),INDIRECT("'"&amp;$M$28&amp;"'!M$22"),INDIRECT("'"&amp;$M$28&amp;"'!M$23"),INDIRECT("'"&amp;$M$28&amp;"'!M$24"),INDIRECT("'"&amp;$M$28&amp;"'!M$25"),INDIRECT("'"&amp;$M$28&amp;"'!M$26"),INDIRECT("'"&amp;$M$28&amp;"'!M$27"),INDIRECT("'"&amp;$M$28&amp;"'!M$28"),INDIRECT("'"&amp;$M$28&amp;"'!M$29"),INDIRECT("'"&amp;$M$28&amp;"'!M$30"),INDIRECT("'"&amp;$M$28&amp;"'!M$31"),INDIRECT("'"&amp;$M$28&amp;"'!M$32"),INDIRECT("'"&amp;$M$28&amp;"'!M$33"),INDIRECT("'"&amp;$M$28&amp;"'!M$34"),INDIRECT("'"&amp;$M$28&amp;"'!M$35"),INDIRECT("'"&amp;$M$28&amp;"'!M$36"),INDIRECT("'"&amp;$M$28&amp;"'!M$37"),INDIRECT("'"&amp;$M$28&amp;"'!M$38"),INDIRECT("'"&amp;$M$28&amp;"'!M$39"),INDIRECT("'"&amp;$M$28&amp;"'!M$40"),INDIRECT("'"&amp;$M$28&amp;"'!M$41"),INDIRECT("'"&amp;$M$28&amp;"'!M$42"),INDIRECT("'"&amp;$M$28&amp;"'!M$43"),INDIRECT("'"&amp;$M$28&amp;"'!M$44"),INDIRECT("'"&amp;$M$28&amp;"'!M$45"),INDIRECT("'"&amp;$M$28&amp;"'!M$46"),INDIRECT("'"&amp;$M$28&amp;"'!M$47"),INDIRECT("'"&amp;$M$28&amp;"'!M$48"),INDIRECT("'"&amp;$M$28&amp;"'!M$49"),INDIRECT("'"&amp;$M$28&amp;"'!M$50"),INDIRECT("'"&amp;$M$28&amp;"'!M$51"),INDIRECT("'"&amp;$M$28&amp;"'!M$52"),INDIRECT("'"&amp;$M$28&amp;"'!M$53"),INDIRECT("'"&amp;$M$28&amp;"'!M$54"),INDIRECT("'"&amp;$M$28&amp;"'!M$55"),INDIRECT("'"&amp;$M$28&amp;"'!M$56")),""),""))</f>
        <v/>
      </c>
      <c r="L34" s="194" t="str" cm="1">
        <f t="array" aca="1" ref="L34" ca="1">IF(OR('Project Summary'!$C$19="No",'Project Summary'!$C$19=""),"",_xlfn.IFNA(IF(OR('Project Summary'!$C$19="Yes",'Project Summary'!$C$19=""),CHOOSE(MATCH($M$27,INDIRECT("'"&amp;$M$28&amp;"'!$A$4:$A$56")),INDIRECT("'"&amp;$M$28&amp;"'!N$4"),INDIRECT("'"&amp;$M$28&amp;"'!N$5"),INDIRECT("'"&amp;$M$28&amp;"'!N$6"),INDIRECT("'"&amp;$M$28&amp;"'!N$7"),INDIRECT("'"&amp;$M$28&amp;"'!N$8"),INDIRECT("'"&amp;$M$28&amp;"'!N$9"),INDIRECT("'"&amp;$M$28&amp;"'!N$10"),INDIRECT("'"&amp;$M$28&amp;"'!N$11"),INDIRECT("'"&amp;$M$28&amp;"'!N$12"),INDIRECT("'"&amp;$M$28&amp;"'!N$13"),INDIRECT("'"&amp;$M$28&amp;"'!N$14"),INDIRECT("'"&amp;$M$28&amp;"'!N$15"),INDIRECT("'"&amp;$M$28&amp;"'!N$16"),INDIRECT("'"&amp;$M$28&amp;"'!N$17"),INDIRECT("'"&amp;$M$28&amp;"'!N$18"),INDIRECT("'"&amp;$M$28&amp;"'!N$19"),INDIRECT("'"&amp;$M$28&amp;"'!N$20"),INDIRECT("'"&amp;$M$28&amp;"'!N$21"),INDIRECT("'"&amp;$M$28&amp;"'!N$22"),INDIRECT("'"&amp;$M$28&amp;"'!N$23"),INDIRECT("'"&amp;$M$28&amp;"'!N$24"),INDIRECT("'"&amp;$M$28&amp;"'!N$25"),INDIRECT("'"&amp;$M$28&amp;"'!N$26"),INDIRECT("'"&amp;$M$28&amp;"'!N$27"),INDIRECT("'"&amp;$M$28&amp;"'!N$28"),INDIRECT("'"&amp;$M$28&amp;"'!N$29"),INDIRECT("'"&amp;$M$28&amp;"'!N$30"),INDIRECT("'"&amp;$M$28&amp;"'!N$31"),INDIRECT("'"&amp;$M$28&amp;"'!N$32"),INDIRECT("'"&amp;$M$28&amp;"'!N$33"),INDIRECT("'"&amp;$M$28&amp;"'!N$34"),INDIRECT("'"&amp;$M$28&amp;"'!N$35"),INDIRECT("'"&amp;$M$28&amp;"'!N$36"),INDIRECT("'"&amp;$M$28&amp;"'!N$37"),INDIRECT("'"&amp;$M$28&amp;"'!N$38"),INDIRECT("'"&amp;$M$28&amp;"'!N$39"),INDIRECT("'"&amp;$M$28&amp;"'!N$40"),INDIRECT("'"&amp;$M$28&amp;"'!N$41"),INDIRECT("'"&amp;$M$28&amp;"'!N$42"),INDIRECT("'"&amp;$M$28&amp;"'!N$43"),INDIRECT("'"&amp;$M$28&amp;"'!N$44"),INDIRECT("'"&amp;$M$28&amp;"'!N$45"),INDIRECT("'"&amp;$M$28&amp;"'!N$46"),INDIRECT("'"&amp;$M$28&amp;"'!N$47"),INDIRECT("'"&amp;$M$28&amp;"'!N$48"),INDIRECT("'"&amp;$M$28&amp;"'!N$49"),INDIRECT("'"&amp;$M$28&amp;"'!N$50"),INDIRECT("'"&amp;$M$28&amp;"'!N$51"),INDIRECT("'"&amp;$M$28&amp;"'!N$52"),INDIRECT("'"&amp;$M$28&amp;"'!N$53"),INDIRECT("'"&amp;$M$28&amp;"'!N$54"),INDIRECT("'"&amp;$M$28&amp;"'!N$55"),INDIRECT("'"&amp;$M$28&amp;"'!N$56")),""),""))</f>
        <v/>
      </c>
      <c r="M34" s="194" t="str" cm="1">
        <f t="array" aca="1" ref="M34" ca="1">IF(OR('Project Summary'!$C$19="No",'Project Summary'!$C$19=""),"",_xlfn.IFNA(IF(OR('Project Summary'!$C$19="Yes",'Project Summary'!$C$19=""),CHOOSE(MATCH($M$27,INDIRECT("'"&amp;$M$28&amp;"'!$A$4:$A$56")),INDIRECT("'"&amp;$M$28&amp;"'!O$4"),INDIRECT("'"&amp;$M$28&amp;"'!O$5"),INDIRECT("'"&amp;$M$28&amp;"'!O$6"),INDIRECT("'"&amp;$M$28&amp;"'!O$7"),INDIRECT("'"&amp;$M$28&amp;"'!O$8"),INDIRECT("'"&amp;$M$28&amp;"'!O$9"),INDIRECT("'"&amp;$M$28&amp;"'!O$10"),INDIRECT("'"&amp;$M$28&amp;"'!O$11"),INDIRECT("'"&amp;$M$28&amp;"'!O$12"),INDIRECT("'"&amp;$M$28&amp;"'!O$13"),INDIRECT("'"&amp;$M$28&amp;"'!O$14"),INDIRECT("'"&amp;$M$28&amp;"'!O$15"),INDIRECT("'"&amp;$M$28&amp;"'!O$16"),INDIRECT("'"&amp;$M$28&amp;"'!O$17"),INDIRECT("'"&amp;$M$28&amp;"'!O$18"),INDIRECT("'"&amp;$M$28&amp;"'!O$19"),INDIRECT("'"&amp;$M$28&amp;"'!O$20"),INDIRECT("'"&amp;$M$28&amp;"'!O$21"),INDIRECT("'"&amp;$M$28&amp;"'!O$22"),INDIRECT("'"&amp;$M$28&amp;"'!O$23"),INDIRECT("'"&amp;$M$28&amp;"'!O$24"),INDIRECT("'"&amp;$M$28&amp;"'!O$25"),INDIRECT("'"&amp;$M$28&amp;"'!O$26"),INDIRECT("'"&amp;$M$28&amp;"'!O$27"),INDIRECT("'"&amp;$M$28&amp;"'!O$28"),INDIRECT("'"&amp;$M$28&amp;"'!O$29"),INDIRECT("'"&amp;$M$28&amp;"'!O$30"),INDIRECT("'"&amp;$M$28&amp;"'!O$31"),INDIRECT("'"&amp;$M$28&amp;"'!O$32"),INDIRECT("'"&amp;$M$28&amp;"'!O$33"),INDIRECT("'"&amp;$M$28&amp;"'!O$34"),INDIRECT("'"&amp;$M$28&amp;"'!O$35"),INDIRECT("'"&amp;$M$28&amp;"'!O$36"),INDIRECT("'"&amp;$M$28&amp;"'!O$37"),INDIRECT("'"&amp;$M$28&amp;"'!O$38"),INDIRECT("'"&amp;$M$28&amp;"'!O$39"),INDIRECT("'"&amp;$M$28&amp;"'!O$40"),INDIRECT("'"&amp;$M$28&amp;"'!O$41"),INDIRECT("'"&amp;$M$28&amp;"'!O$42"),INDIRECT("'"&amp;$M$28&amp;"'!O$43"),INDIRECT("'"&amp;$M$28&amp;"'!O$44"),INDIRECT("'"&amp;$M$28&amp;"'!O$45"),INDIRECT("'"&amp;$M$28&amp;"'!O$46"),INDIRECT("'"&amp;$M$28&amp;"'!O$47"),INDIRECT("'"&amp;$M$28&amp;"'!O$48"),INDIRECT("'"&amp;$M$28&amp;"'!O$49"),INDIRECT("'"&amp;$M$28&amp;"'!O$50"),INDIRECT("'"&amp;$M$28&amp;"'!O$51"),INDIRECT("'"&amp;$M$28&amp;"'!O$52"),INDIRECT("'"&amp;$M$28&amp;"'!O$53"),INDIRECT("'"&amp;$M$28&amp;"'!O$54"),INDIRECT("'"&amp;$M$28&amp;"'!O$55"),INDIRECT("'"&amp;$M$28&amp;"'!O$56")),""),""))</f>
        <v/>
      </c>
      <c r="N34" s="194" t="str" cm="1">
        <f t="array" aca="1" ref="N34" ca="1">IF(OR('Project Summary'!$C$19="No",'Project Summary'!$C$19=""),"",_xlfn.IFNA(IF(OR('Project Summary'!$C$19="Yes",'Project Summary'!$C$19=""),CHOOSE(MATCH($M$27,INDIRECT("'"&amp;$M$28&amp;"'!$A$4:$A$56")),INDIRECT("'"&amp;$M$28&amp;"'!P$4"),INDIRECT("'"&amp;$M$28&amp;"'!P$5"),INDIRECT("'"&amp;$M$28&amp;"'!P$6"),INDIRECT("'"&amp;$M$28&amp;"'!P$7"),INDIRECT("'"&amp;$M$28&amp;"'!P$8"),INDIRECT("'"&amp;$M$28&amp;"'!P$9"),INDIRECT("'"&amp;$M$28&amp;"'!P$10"),INDIRECT("'"&amp;$M$28&amp;"'!P$11"),INDIRECT("'"&amp;$M$28&amp;"'!P$12"),INDIRECT("'"&amp;$M$28&amp;"'!P$13"),INDIRECT("'"&amp;$M$28&amp;"'!P$14"),INDIRECT("'"&amp;$M$28&amp;"'!P$15"),INDIRECT("'"&amp;$M$28&amp;"'!P$16"),INDIRECT("'"&amp;$M$28&amp;"'!P$17"),INDIRECT("'"&amp;$M$28&amp;"'!P$18"),INDIRECT("'"&amp;$M$28&amp;"'!P$19"),INDIRECT("'"&amp;$M$28&amp;"'!P$20"),INDIRECT("'"&amp;$M$28&amp;"'!P$21"),INDIRECT("'"&amp;$M$28&amp;"'!P$22"),INDIRECT("'"&amp;$M$28&amp;"'!P$23"),INDIRECT("'"&amp;$M$28&amp;"'!P$24"),INDIRECT("'"&amp;$M$28&amp;"'!P$25"),INDIRECT("'"&amp;$M$28&amp;"'!P$26"),INDIRECT("'"&amp;$M$28&amp;"'!P$27"),INDIRECT("'"&amp;$M$28&amp;"'!P$28"),INDIRECT("'"&amp;$M$28&amp;"'!P$29"),INDIRECT("'"&amp;$M$28&amp;"'!P$30"),INDIRECT("'"&amp;$M$28&amp;"'!P$31"),INDIRECT("'"&amp;$M$28&amp;"'!P$32"),INDIRECT("'"&amp;$M$28&amp;"'!P$33"),INDIRECT("'"&amp;$M$28&amp;"'!P$34"),INDIRECT("'"&amp;$M$28&amp;"'!P$35"),INDIRECT("'"&amp;$M$28&amp;"'!P$36"),INDIRECT("'"&amp;$M$28&amp;"'!P$37"),INDIRECT("'"&amp;$M$28&amp;"'!P$38"),INDIRECT("'"&amp;$M$28&amp;"'!P$39"),INDIRECT("'"&amp;$M$28&amp;"'!P$40"),INDIRECT("'"&amp;$M$28&amp;"'!P$41"),INDIRECT("'"&amp;$M$28&amp;"'!P$42"),INDIRECT("'"&amp;$M$28&amp;"'!P$43"),INDIRECT("'"&amp;$M$28&amp;"'!P$44"),INDIRECT("'"&amp;$M$28&amp;"'!P$45"),INDIRECT("'"&amp;$M$28&amp;"'!P$46"),INDIRECT("'"&amp;$M$28&amp;"'!P$47"),INDIRECT("'"&amp;$M$28&amp;"'!P$48"),INDIRECT("'"&amp;$M$28&amp;"'!P$49"),INDIRECT("'"&amp;$M$28&amp;"'!P$50"),INDIRECT("'"&amp;$M$28&amp;"'!P$51"),INDIRECT("'"&amp;$M$28&amp;"'!P$52"),INDIRECT("'"&amp;$M$28&amp;"'!P$53"),INDIRECT("'"&amp;$M$28&amp;"'!P$54"),INDIRECT("'"&amp;$M$28&amp;"'!P$55"),INDIRECT("'"&amp;$M$28&amp;"'!P$56")),""),""))</f>
        <v/>
      </c>
      <c r="O34" s="194" t="str" cm="1">
        <f t="array" aca="1" ref="O34" ca="1">IF(OR('Project Summary'!$C$19="No",'Project Summary'!$C$19=""),"",_xlfn.IFNA(IF(OR('Project Summary'!$C$19="Yes",'Project Summary'!$C$19=""),CHOOSE(MATCH($M$27,INDIRECT("'"&amp;$M$28&amp;"'!$A$4:$A$56")),INDIRECT("'"&amp;$M$28&amp;"'!Q$4"),INDIRECT("'"&amp;$M$28&amp;"'!Q$5"),INDIRECT("'"&amp;$M$28&amp;"'!Q$6"),INDIRECT("'"&amp;$M$28&amp;"'!Q$7"),INDIRECT("'"&amp;$M$28&amp;"'!Q$8"),INDIRECT("'"&amp;$M$28&amp;"'!Q$9"),INDIRECT("'"&amp;$M$28&amp;"'!Q$10"),INDIRECT("'"&amp;$M$28&amp;"'!Q$11"),INDIRECT("'"&amp;$M$28&amp;"'!Q$12"),INDIRECT("'"&amp;$M$28&amp;"'!Q$13"),INDIRECT("'"&amp;$M$28&amp;"'!Q$14"),INDIRECT("'"&amp;$M$28&amp;"'!Q$15"),INDIRECT("'"&amp;$M$28&amp;"'!Q$16"),INDIRECT("'"&amp;$M$28&amp;"'!Q$17"),INDIRECT("'"&amp;$M$28&amp;"'!Q$18"),INDIRECT("'"&amp;$M$28&amp;"'!Q$19"),INDIRECT("'"&amp;$M$28&amp;"'!Q$20"),INDIRECT("'"&amp;$M$28&amp;"'!Q$21"),INDIRECT("'"&amp;$M$28&amp;"'!Q$22"),INDIRECT("'"&amp;$M$28&amp;"'!Q$23"),INDIRECT("'"&amp;$M$28&amp;"'!Q$24"),INDIRECT("'"&amp;$M$28&amp;"'!Q$25"),INDIRECT("'"&amp;$M$28&amp;"'!Q$26"),INDIRECT("'"&amp;$M$28&amp;"'!Q$27"),INDIRECT("'"&amp;$M$28&amp;"'!Q$28"),INDIRECT("'"&amp;$M$28&amp;"'!Q$29"),INDIRECT("'"&amp;$M$28&amp;"'!Q$30"),INDIRECT("'"&amp;$M$28&amp;"'!Q$31"),INDIRECT("'"&amp;$M$28&amp;"'!Q$32"),INDIRECT("'"&amp;$M$28&amp;"'!Q$33"),INDIRECT("'"&amp;$M$28&amp;"'!Q$34"),INDIRECT("'"&amp;$M$28&amp;"'!Q$35"),INDIRECT("'"&amp;$M$28&amp;"'!Q$36"),INDIRECT("'"&amp;$M$28&amp;"'!Q$37"),INDIRECT("'"&amp;$M$28&amp;"'!Q$38"),INDIRECT("'"&amp;$M$28&amp;"'!Q$39"),INDIRECT("'"&amp;$M$28&amp;"'!Q$40"),INDIRECT("'"&amp;$M$28&amp;"'!Q$41"),INDIRECT("'"&amp;$M$28&amp;"'!Q$42"),INDIRECT("'"&amp;$M$28&amp;"'!Q$43"),INDIRECT("'"&amp;$M$28&amp;"'!Q$44"),INDIRECT("'"&amp;$M$28&amp;"'!Q$45"),INDIRECT("'"&amp;$M$28&amp;"'!Q$46"),INDIRECT("'"&amp;$M$28&amp;"'!Q$47"),INDIRECT("'"&amp;$M$28&amp;"'!Q$48"),INDIRECT("'"&amp;$M$28&amp;"'!Q$49"),INDIRECT("'"&amp;$M$28&amp;"'!Q$50"),INDIRECT("'"&amp;$M$28&amp;"'!Q$51"),INDIRECT("'"&amp;$M$28&amp;"'!Q$52"),INDIRECT("'"&amp;$M$28&amp;"'!Q$53"),INDIRECT("'"&amp;$M$28&amp;"'!Q$54"),INDIRECT("'"&amp;$M$28&amp;"'!Q$55"),INDIRECT("'"&amp;$M$28&amp;"'!Q$56")),""),""))</f>
        <v/>
      </c>
      <c r="Q34" s="368" t="str">
        <f>_xlfn.IFNA(IF(AND('Project Summary'!$C$19="Yes",$F34="Yes"),MAX(INDEX($K$8:$O$16,1,MATCH($B34,$K$7:$O$7,0)),INDEX($K$8:$O$16,MATCH($C34,$J$8:$J$16,0),MATCH($B34,$K$7:$O$7,0))),INDEX($K$8:$O$16,MATCH($C34,$J$8:$J$16,0),MATCH($B34,$K$7:$O$7,0))),"")</f>
        <v/>
      </c>
      <c r="R34" s="367" t="str">
        <f t="shared" si="1"/>
        <v/>
      </c>
      <c r="T34" s="367" t="str">
        <f>_xlfn.IFNA(IF(AND(OR('Project Summary'!$C$44="No",'Project Summary'!$C$44=""),OR('Project Summary'!$C$89="No",'Project Summary'!$C$89="")),"",IF(AND($F34="Yes",$C34&lt;=30%),MAX(INDEX($K$8:$O$16,1,MATCH($B34,$K$7:$O$7,0)),INDEX($K$8:$O$16,MATCH($C34,$J$8:$J$16,0),MATCH($B34,$K$7:$O$7,0))),INDEX($K$8:$O$16,MATCH($C34,$J$8:$J$16,0),MATCH($B34,$K$7:$O$7,0)))),"")</f>
        <v/>
      </c>
      <c r="U34" s="367" t="str">
        <f t="shared" si="2"/>
        <v/>
      </c>
    </row>
    <row r="35" spans="1:21" ht="15" customHeight="1" x14ac:dyDescent="0.25">
      <c r="B35" s="29"/>
      <c r="C35" s="979"/>
      <c r="D35" s="980"/>
      <c r="E35" s="30"/>
      <c r="F35" s="29"/>
      <c r="G35" s="3">
        <v>0</v>
      </c>
      <c r="H35" s="4">
        <f>E35*G35*12</f>
        <v>0</v>
      </c>
      <c r="I35" s="213"/>
      <c r="J35" s="119">
        <v>0.5</v>
      </c>
      <c r="K35" s="194" t="str" cm="1">
        <f t="array" aca="1" ref="K35" ca="1">IF(OR('Project Summary'!$C$19="No",'Project Summary'!$C$19=""),"",_xlfn.IFNA(IF(OR('Project Summary'!$C$19="Yes",'Project Summary'!$C$19=""),CHOOSE(MATCH($M$27,INDIRECT("'"&amp;$M$28&amp;"'!$A$4:$A$56")),INDIRECT("'"&amp;$M$28&amp;"'!R$4"),INDIRECT("'"&amp;$M$28&amp;"'!R$5"),INDIRECT("'"&amp;$M$28&amp;"'!R$6"),INDIRECT("'"&amp;$M$28&amp;"'!R$7"),INDIRECT("'"&amp;$M$28&amp;"'!R$8"),INDIRECT("'"&amp;$M$28&amp;"'!R$9"),INDIRECT("'"&amp;$M$28&amp;"'!R$10"),INDIRECT("'"&amp;$M$28&amp;"'!R$11"),INDIRECT("'"&amp;$M$28&amp;"'!R$12"),INDIRECT("'"&amp;$M$28&amp;"'!R$13"),INDIRECT("'"&amp;$M$28&amp;"'!R$14"),INDIRECT("'"&amp;$M$28&amp;"'!R$15"),INDIRECT("'"&amp;$M$28&amp;"'!R$16"),INDIRECT("'"&amp;$M$28&amp;"'!R$17"),INDIRECT("'"&amp;$M$28&amp;"'!R$18"),INDIRECT("'"&amp;$M$28&amp;"'!R$19"),INDIRECT("'"&amp;$M$28&amp;"'!R$20"),INDIRECT("'"&amp;$M$28&amp;"'!R$21"),INDIRECT("'"&amp;$M$28&amp;"'!R$22"),INDIRECT("'"&amp;$M$28&amp;"'!R$23"),INDIRECT("'"&amp;$M$28&amp;"'!R$24"),INDIRECT("'"&amp;$M$28&amp;"'!R$25"),INDIRECT("'"&amp;$M$28&amp;"'!R$26"),INDIRECT("'"&amp;$M$28&amp;"'!R$27"),INDIRECT("'"&amp;$M$28&amp;"'!R$28"),INDIRECT("'"&amp;$M$28&amp;"'!R$29"),INDIRECT("'"&amp;$M$28&amp;"'!R$30"),INDIRECT("'"&amp;$M$28&amp;"'!R$31"),INDIRECT("'"&amp;$M$28&amp;"'!R$32"),INDIRECT("'"&amp;$M$28&amp;"'!R$33"),INDIRECT("'"&amp;$M$28&amp;"'!R$34"),INDIRECT("'"&amp;$M$28&amp;"'!R$35"),INDIRECT("'"&amp;$M$28&amp;"'!R$36"),INDIRECT("'"&amp;$M$28&amp;"'!R$37"),INDIRECT("'"&amp;$M$28&amp;"'!R$38"),INDIRECT("'"&amp;$M$28&amp;"'!R$39"),INDIRECT("'"&amp;$M$28&amp;"'!R$40"),INDIRECT("'"&amp;$M$28&amp;"'!R$41"),INDIRECT("'"&amp;$M$28&amp;"'!R$42"),INDIRECT("'"&amp;$M$28&amp;"'!R$43"),INDIRECT("'"&amp;$M$28&amp;"'!R$44"),INDIRECT("'"&amp;$M$28&amp;"'!R$45"),INDIRECT("'"&amp;$M$28&amp;"'!R$46"),INDIRECT("'"&amp;$M$28&amp;"'!R$47"),INDIRECT("'"&amp;$M$28&amp;"'!R$48"),INDIRECT("'"&amp;$M$28&amp;"'!R$49"),INDIRECT("'"&amp;$M$28&amp;"'!R$50"),INDIRECT("'"&amp;$M$28&amp;"'!R$51"),INDIRECT("'"&amp;$M$28&amp;"'!R$52"),INDIRECT("'"&amp;$M$28&amp;"'!R$53"),INDIRECT("'"&amp;$M$28&amp;"'!R$54"),INDIRECT("'"&amp;$M$28&amp;"'!R$55"),INDIRECT("'"&amp;$M$28&amp;"'!R$56")),""),""))</f>
        <v/>
      </c>
      <c r="L35" s="194" t="str" cm="1">
        <f t="array" aca="1" ref="L35" ca="1">IF(OR('Project Summary'!$C$19="No",'Project Summary'!$C$19=""),"",_xlfn.IFNA(IF(OR('Project Summary'!$C$19="Yes",'Project Summary'!$C$19=""),CHOOSE(MATCH($M$27,INDIRECT("'"&amp;$M$28&amp;"'!$A$4:$A$56")),INDIRECT("'"&amp;$M$28&amp;"'!S$4"),INDIRECT("'"&amp;$M$28&amp;"'!S$5"),INDIRECT("'"&amp;$M$28&amp;"'!S$6"),INDIRECT("'"&amp;$M$28&amp;"'!S$7"),INDIRECT("'"&amp;$M$28&amp;"'!S$8"),INDIRECT("'"&amp;$M$28&amp;"'!S$9"),INDIRECT("'"&amp;$M$28&amp;"'!S$10"),INDIRECT("'"&amp;$M$28&amp;"'!S$11"),INDIRECT("'"&amp;$M$28&amp;"'!S$12"),INDIRECT("'"&amp;$M$28&amp;"'!S$13"),INDIRECT("'"&amp;$M$28&amp;"'!S$14"),INDIRECT("'"&amp;$M$28&amp;"'!S$15"),INDIRECT("'"&amp;$M$28&amp;"'!S$16"),INDIRECT("'"&amp;$M$28&amp;"'!S$17"),INDIRECT("'"&amp;$M$28&amp;"'!S$18"),INDIRECT("'"&amp;$M$28&amp;"'!S$19"),INDIRECT("'"&amp;$M$28&amp;"'!S$20"),INDIRECT("'"&amp;$M$28&amp;"'!S$21"),INDIRECT("'"&amp;$M$28&amp;"'!S$22"),INDIRECT("'"&amp;$M$28&amp;"'!S$23"),INDIRECT("'"&amp;$M$28&amp;"'!S$24"),INDIRECT("'"&amp;$M$28&amp;"'!S$25"),INDIRECT("'"&amp;$M$28&amp;"'!S$26"),INDIRECT("'"&amp;$M$28&amp;"'!S$27"),INDIRECT("'"&amp;$M$28&amp;"'!S$28"),INDIRECT("'"&amp;$M$28&amp;"'!S$29"),INDIRECT("'"&amp;$M$28&amp;"'!S$30"),INDIRECT("'"&amp;$M$28&amp;"'!S$31"),INDIRECT("'"&amp;$M$28&amp;"'!S$32"),INDIRECT("'"&amp;$M$28&amp;"'!S$33"),INDIRECT("'"&amp;$M$28&amp;"'!S$34"),INDIRECT("'"&amp;$M$28&amp;"'!S$35"),INDIRECT("'"&amp;$M$28&amp;"'!S$36"),INDIRECT("'"&amp;$M$28&amp;"'!S$37"),INDIRECT("'"&amp;$M$28&amp;"'!S$38"),INDIRECT("'"&amp;$M$28&amp;"'!S$39"),INDIRECT("'"&amp;$M$28&amp;"'!S$40"),INDIRECT("'"&amp;$M$28&amp;"'!S$41"),INDIRECT("'"&amp;$M$28&amp;"'!S$42"),INDIRECT("'"&amp;$M$28&amp;"'!S$43"),INDIRECT("'"&amp;$M$28&amp;"'!S$44"),INDIRECT("'"&amp;$M$28&amp;"'!S$45"),INDIRECT("'"&amp;$M$28&amp;"'!S$46"),INDIRECT("'"&amp;$M$28&amp;"'!S$47"),INDIRECT("'"&amp;$M$28&amp;"'!S$48"),INDIRECT("'"&amp;$M$28&amp;"'!S$49"),INDIRECT("'"&amp;$M$28&amp;"'!S$50"),INDIRECT("'"&amp;$M$28&amp;"'!S$51"),INDIRECT("'"&amp;$M$28&amp;"'!S$52"),INDIRECT("'"&amp;$M$28&amp;"'!S$53"),INDIRECT("'"&amp;$M$28&amp;"'!S$54"),INDIRECT("'"&amp;$M$28&amp;"'!S$55"),INDIRECT("'"&amp;$M$28&amp;"'!S$56")),""),""))</f>
        <v/>
      </c>
      <c r="M35" s="194" t="str" cm="1">
        <f t="array" aca="1" ref="M35" ca="1">IF(OR('Project Summary'!$C$19="No",'Project Summary'!$C$19=""),"",_xlfn.IFNA(IF(OR('Project Summary'!$C$19="Yes",'Project Summary'!$C$19=""),CHOOSE(MATCH($M$27,INDIRECT("'"&amp;$M$28&amp;"'!$A$4:$A$56")),INDIRECT("'"&amp;$M$28&amp;"'!T$4"),INDIRECT("'"&amp;$M$28&amp;"'!T$5"),INDIRECT("'"&amp;$M$28&amp;"'!T$6"),INDIRECT("'"&amp;$M$28&amp;"'!T$7"),INDIRECT("'"&amp;$M$28&amp;"'!T$8"),INDIRECT("'"&amp;$M$28&amp;"'!T$9"),INDIRECT("'"&amp;$M$28&amp;"'!T$10"),INDIRECT("'"&amp;$M$28&amp;"'!T$11"),INDIRECT("'"&amp;$M$28&amp;"'!T$12"),INDIRECT("'"&amp;$M$28&amp;"'!T$13"),INDIRECT("'"&amp;$M$28&amp;"'!T$14"),INDIRECT("'"&amp;$M$28&amp;"'!T$15"),INDIRECT("'"&amp;$M$28&amp;"'!T$16"),INDIRECT("'"&amp;$M$28&amp;"'!T$17"),INDIRECT("'"&amp;$M$28&amp;"'!T$18"),INDIRECT("'"&amp;$M$28&amp;"'!T$19"),INDIRECT("'"&amp;$M$28&amp;"'!T$20"),INDIRECT("'"&amp;$M$28&amp;"'!T$21"),INDIRECT("'"&amp;$M$28&amp;"'!T$22"),INDIRECT("'"&amp;$M$28&amp;"'!T$23"),INDIRECT("'"&amp;$M$28&amp;"'!T$24"),INDIRECT("'"&amp;$M$28&amp;"'!T$25"),INDIRECT("'"&amp;$M$28&amp;"'!T$26"),INDIRECT("'"&amp;$M$28&amp;"'!T$27"),INDIRECT("'"&amp;$M$28&amp;"'!T$28"),INDIRECT("'"&amp;$M$28&amp;"'!T$29"),INDIRECT("'"&amp;$M$28&amp;"'!T$30"),INDIRECT("'"&amp;$M$28&amp;"'!T$31"),INDIRECT("'"&amp;$M$28&amp;"'!T$32"),INDIRECT("'"&amp;$M$28&amp;"'!T$33"),INDIRECT("'"&amp;$M$28&amp;"'!T$34"),INDIRECT("'"&amp;$M$28&amp;"'!T$35"),INDIRECT("'"&amp;$M$28&amp;"'!T$36"),INDIRECT("'"&amp;$M$28&amp;"'!T$37"),INDIRECT("'"&amp;$M$28&amp;"'!T$38"),INDIRECT("'"&amp;$M$28&amp;"'!T$39"),INDIRECT("'"&amp;$M$28&amp;"'!T$40"),INDIRECT("'"&amp;$M$28&amp;"'!T$41"),INDIRECT("'"&amp;$M$28&amp;"'!T$42"),INDIRECT("'"&amp;$M$28&amp;"'!T$43"),INDIRECT("'"&amp;$M$28&amp;"'!T$44"),INDIRECT("'"&amp;$M$28&amp;"'!T$45"),INDIRECT("'"&amp;$M$28&amp;"'!T$46"),INDIRECT("'"&amp;$M$28&amp;"'!T$47"),INDIRECT("'"&amp;$M$28&amp;"'!T$48"),INDIRECT("'"&amp;$M$28&amp;"'!T$49"),INDIRECT("'"&amp;$M$28&amp;"'!T$50"),INDIRECT("'"&amp;$M$28&amp;"'!T$51"),INDIRECT("'"&amp;$M$28&amp;"'!T$52"),INDIRECT("'"&amp;$M$28&amp;"'!T$53"),INDIRECT("'"&amp;$M$28&amp;"'!T$54"),INDIRECT("'"&amp;$M$28&amp;"'!T$55"),INDIRECT("'"&amp;$M$28&amp;"'!T$56")),""),""))</f>
        <v/>
      </c>
      <c r="N35" s="194" t="str" cm="1">
        <f t="array" aca="1" ref="N35" ca="1">IF(OR('Project Summary'!$C$19="No",'Project Summary'!$C$19=""),"",_xlfn.IFNA(IF(OR('Project Summary'!$C$19="Yes",'Project Summary'!$C$19=""),CHOOSE(MATCH($M$27,INDIRECT("'"&amp;$M$28&amp;"'!$A$4:$A$56")),INDIRECT("'"&amp;$M$28&amp;"'!U$4"),INDIRECT("'"&amp;$M$28&amp;"'!U$5"),INDIRECT("'"&amp;$M$28&amp;"'!U$6"),INDIRECT("'"&amp;$M$28&amp;"'!U$7"),INDIRECT("'"&amp;$M$28&amp;"'!U$8"),INDIRECT("'"&amp;$M$28&amp;"'!U$9"),INDIRECT("'"&amp;$M$28&amp;"'!U$10"),INDIRECT("'"&amp;$M$28&amp;"'!U$11"),INDIRECT("'"&amp;$M$28&amp;"'!U$12"),INDIRECT("'"&amp;$M$28&amp;"'!U$13"),INDIRECT("'"&amp;$M$28&amp;"'!U$14"),INDIRECT("'"&amp;$M$28&amp;"'!U$15"),INDIRECT("'"&amp;$M$28&amp;"'!U$16"),INDIRECT("'"&amp;$M$28&amp;"'!U$17"),INDIRECT("'"&amp;$M$28&amp;"'!U$18"),INDIRECT("'"&amp;$M$28&amp;"'!U$19"),INDIRECT("'"&amp;$M$28&amp;"'!U$20"),INDIRECT("'"&amp;$M$28&amp;"'!U$21"),INDIRECT("'"&amp;$M$28&amp;"'!U$22"),INDIRECT("'"&amp;$M$28&amp;"'!U$23"),INDIRECT("'"&amp;$M$28&amp;"'!U$24"),INDIRECT("'"&amp;$M$28&amp;"'!U$25"),INDIRECT("'"&amp;$M$28&amp;"'!U$26"),INDIRECT("'"&amp;$M$28&amp;"'!U$27"),INDIRECT("'"&amp;$M$28&amp;"'!U$28"),INDIRECT("'"&amp;$M$28&amp;"'!U$29"),INDIRECT("'"&amp;$M$28&amp;"'!U$30"),INDIRECT("'"&amp;$M$28&amp;"'!U$31"),INDIRECT("'"&amp;$M$28&amp;"'!U$32"),INDIRECT("'"&amp;$M$28&amp;"'!U$33"),INDIRECT("'"&amp;$M$28&amp;"'!U$34"),INDIRECT("'"&amp;$M$28&amp;"'!U$35"),INDIRECT("'"&amp;$M$28&amp;"'!U$36"),INDIRECT("'"&amp;$M$28&amp;"'!U$37"),INDIRECT("'"&amp;$M$28&amp;"'!U$38"),INDIRECT("'"&amp;$M$28&amp;"'!U$39"),INDIRECT("'"&amp;$M$28&amp;"'!U$40"),INDIRECT("'"&amp;$M$28&amp;"'!U$41"),INDIRECT("'"&amp;$M$28&amp;"'!U$42"),INDIRECT("'"&amp;$M$28&amp;"'!U$43"),INDIRECT("'"&amp;$M$28&amp;"'!U$44"),INDIRECT("'"&amp;$M$28&amp;"'!U$45"),INDIRECT("'"&amp;$M$28&amp;"'!U$46"),INDIRECT("'"&amp;$M$28&amp;"'!U$47"),INDIRECT("'"&amp;$M$28&amp;"'!U$48"),INDIRECT("'"&amp;$M$28&amp;"'!U$49"),INDIRECT("'"&amp;$M$28&amp;"'!U$50"),INDIRECT("'"&amp;$M$28&amp;"'!U$51"),INDIRECT("'"&amp;$M$28&amp;"'!U$52"),INDIRECT("'"&amp;$M$28&amp;"'!U$53"),INDIRECT("'"&amp;$M$28&amp;"'!U$54"),INDIRECT("'"&amp;$M$28&amp;"'!U$55"),INDIRECT("'"&amp;$M$28&amp;"'!U$56")),""),""))</f>
        <v/>
      </c>
      <c r="O35" s="194" t="str" cm="1">
        <f t="array" aca="1" ref="O35" ca="1">IF(OR('Project Summary'!$C$19="No",'Project Summary'!$C$19=""),"",_xlfn.IFNA(IF(OR('Project Summary'!$C$19="Yes",'Project Summary'!$C$19=""),CHOOSE(MATCH($M$27,INDIRECT("'"&amp;$M$28&amp;"'!$A$4:$A$56")),INDIRECT("'"&amp;$M$28&amp;"'!V$4"),INDIRECT("'"&amp;$M$28&amp;"'!V$5"),INDIRECT("'"&amp;$M$28&amp;"'!V$6"),INDIRECT("'"&amp;$M$28&amp;"'!V$7"),INDIRECT("'"&amp;$M$28&amp;"'!V$8"),INDIRECT("'"&amp;$M$28&amp;"'!V$9"),INDIRECT("'"&amp;$M$28&amp;"'!V$10"),INDIRECT("'"&amp;$M$28&amp;"'!V$11"),INDIRECT("'"&amp;$M$28&amp;"'!V$12"),INDIRECT("'"&amp;$M$28&amp;"'!V$13"),INDIRECT("'"&amp;$M$28&amp;"'!V$14"),INDIRECT("'"&amp;$M$28&amp;"'!V$15"),INDIRECT("'"&amp;$M$28&amp;"'!V$16"),INDIRECT("'"&amp;$M$28&amp;"'!V$17"),INDIRECT("'"&amp;$M$28&amp;"'!V$18"),INDIRECT("'"&amp;$M$28&amp;"'!V$19"),INDIRECT("'"&amp;$M$28&amp;"'!V$20"),INDIRECT("'"&amp;$M$28&amp;"'!V$21"),INDIRECT("'"&amp;$M$28&amp;"'!V$22"),INDIRECT("'"&amp;$M$28&amp;"'!V$23"),INDIRECT("'"&amp;$M$28&amp;"'!V$24"),INDIRECT("'"&amp;$M$28&amp;"'!V$25"),INDIRECT("'"&amp;$M$28&amp;"'!V$26"),INDIRECT("'"&amp;$M$28&amp;"'!V$27"),INDIRECT("'"&amp;$M$28&amp;"'!V$28"),INDIRECT("'"&amp;$M$28&amp;"'!V$29"),INDIRECT("'"&amp;$M$28&amp;"'!V$30"),INDIRECT("'"&amp;$M$28&amp;"'!V$31"),INDIRECT("'"&amp;$M$28&amp;"'!V$32"),INDIRECT("'"&amp;$M$28&amp;"'!V$33"),INDIRECT("'"&amp;$M$28&amp;"'!V$34"),INDIRECT("'"&amp;$M$28&amp;"'!V$35"),INDIRECT("'"&amp;$M$28&amp;"'!V$36"),INDIRECT("'"&amp;$M$28&amp;"'!V$37"),INDIRECT("'"&amp;$M$28&amp;"'!V$38"),INDIRECT("'"&amp;$M$28&amp;"'!V$39"),INDIRECT("'"&amp;$M$28&amp;"'!V$40"),INDIRECT("'"&amp;$M$28&amp;"'!V$41"),INDIRECT("'"&amp;$M$28&amp;"'!V$42"),INDIRECT("'"&amp;$M$28&amp;"'!V$43"),INDIRECT("'"&amp;$M$28&amp;"'!V$44"),INDIRECT("'"&amp;$M$28&amp;"'!V$45"),INDIRECT("'"&amp;$M$28&amp;"'!V$46"),INDIRECT("'"&amp;$M$28&amp;"'!V$47"),INDIRECT("'"&amp;$M$28&amp;"'!V$48"),INDIRECT("'"&amp;$M$28&amp;"'!V$49"),INDIRECT("'"&amp;$M$28&amp;"'!V$50"),INDIRECT("'"&amp;$M$28&amp;"'!V$51"),INDIRECT("'"&amp;$M$28&amp;"'!V$52"),INDIRECT("'"&amp;$M$28&amp;"'!V$53"),INDIRECT("'"&amp;$M$28&amp;"'!V$54"),INDIRECT("'"&amp;$M$28&amp;"'!V$55"),INDIRECT("'"&amp;$M$28&amp;"'!V$56")),""),""))</f>
        <v/>
      </c>
      <c r="Q35" s="368" t="str">
        <f>_xlfn.IFNA(IF(AND('Project Summary'!$C$19="Yes",$F35="Yes"),MAX(INDEX($K$8:$O$16,1,MATCH($B35,$K$7:$O$7,0)),INDEX($K$8:$O$16,MATCH($C35,$J$8:$J$16,0),MATCH($B35,$K$7:$O$7,0))),INDEX($K$8:$O$16,MATCH($C35,$J$8:$J$16,0),MATCH($B35,$K$7:$O$7,0))),"")</f>
        <v/>
      </c>
      <c r="R35" s="367" t="str">
        <f t="shared" si="1"/>
        <v/>
      </c>
      <c r="T35" s="367" t="str">
        <f>_xlfn.IFNA(IF(AND(OR('Project Summary'!$C$44="No",'Project Summary'!$C$44=""),OR('Project Summary'!$C$89="No",'Project Summary'!$C$89="")),"",IF(AND($F35="Yes",$C35&lt;=30%),MAX(INDEX($K$8:$O$16,1,MATCH($B35,$K$7:$O$7,0)),INDEX($K$8:$O$16,MATCH($C35,$J$8:$J$16,0),MATCH($B35,$K$7:$O$7,0))),INDEX($K$8:$O$16,MATCH($C35,$J$8:$J$16,0),MATCH($B35,$K$7:$O$7,0)))),"")</f>
        <v/>
      </c>
      <c r="U35" s="367" t="str">
        <f t="shared" si="2"/>
        <v/>
      </c>
    </row>
    <row r="36" spans="1:21" ht="15" customHeight="1" x14ac:dyDescent="0.25">
      <c r="B36" s="29"/>
      <c r="C36" s="979"/>
      <c r="D36" s="980"/>
      <c r="E36" s="30"/>
      <c r="F36" s="29"/>
      <c r="G36" s="3">
        <v>0</v>
      </c>
      <c r="H36" s="4">
        <f>E36*G36*12</f>
        <v>0</v>
      </c>
      <c r="I36" s="213"/>
      <c r="J36" s="119">
        <v>0.6</v>
      </c>
      <c r="K36" s="194" t="str" cm="1">
        <f t="array" aca="1" ref="K36" ca="1">IF(OR('Project Summary'!$C$19="No",'Project Summary'!$C$19=""),"",_xlfn.IFNA(IF(OR('Project Summary'!$C$19="Yes",'Project Summary'!$C$19=""),CHOOSE(MATCH($M$27,INDIRECT("'"&amp;$M$28&amp;"'!$A$4:$A$56")),INDIRECT("'"&amp;$M$28&amp;"'!W$4"),INDIRECT("'"&amp;$M$28&amp;"'!W$5"),INDIRECT("'"&amp;$M$28&amp;"'!W$6"),INDIRECT("'"&amp;$M$28&amp;"'!W$7"),INDIRECT("'"&amp;$M$28&amp;"'!W$8"),INDIRECT("'"&amp;$M$28&amp;"'!W$9"),INDIRECT("'"&amp;$M$28&amp;"'!W$10"),INDIRECT("'"&amp;$M$28&amp;"'!W$11"),INDIRECT("'"&amp;$M$28&amp;"'!W$12"),INDIRECT("'"&amp;$M$28&amp;"'!W$13"),INDIRECT("'"&amp;$M$28&amp;"'!W$14"),INDIRECT("'"&amp;$M$28&amp;"'!W$15"),INDIRECT("'"&amp;$M$28&amp;"'!W$16"),INDIRECT("'"&amp;$M$28&amp;"'!W$17"),INDIRECT("'"&amp;$M$28&amp;"'!W$18"),INDIRECT("'"&amp;$M$28&amp;"'!W$19"),INDIRECT("'"&amp;$M$28&amp;"'!W$20"),INDIRECT("'"&amp;$M$28&amp;"'!W$21"),INDIRECT("'"&amp;$M$28&amp;"'!W$22"),INDIRECT("'"&amp;$M$28&amp;"'!W$23"),INDIRECT("'"&amp;$M$28&amp;"'!W$24"),INDIRECT("'"&amp;$M$28&amp;"'!W$25"),INDIRECT("'"&amp;$M$28&amp;"'!W$26"),INDIRECT("'"&amp;$M$28&amp;"'!W$27"),INDIRECT("'"&amp;$M$28&amp;"'!W$28"),INDIRECT("'"&amp;$M$28&amp;"'!W$29"),INDIRECT("'"&amp;$M$28&amp;"'!W$30"),INDIRECT("'"&amp;$M$28&amp;"'!W$31"),INDIRECT("'"&amp;$M$28&amp;"'!W$32"),INDIRECT("'"&amp;$M$28&amp;"'!W$33"),INDIRECT("'"&amp;$M$28&amp;"'!W$34"),INDIRECT("'"&amp;$M$28&amp;"'!W$35"),INDIRECT("'"&amp;$M$28&amp;"'!W$36"),INDIRECT("'"&amp;$M$28&amp;"'!W$37"),INDIRECT("'"&amp;$M$28&amp;"'!W$38"),INDIRECT("'"&amp;$M$28&amp;"'!W$39"),INDIRECT("'"&amp;$M$28&amp;"'!W$40"),INDIRECT("'"&amp;$M$28&amp;"'!W$41"),INDIRECT("'"&amp;$M$28&amp;"'!W$42"),INDIRECT("'"&amp;$M$28&amp;"'!W$43"),INDIRECT("'"&amp;$M$28&amp;"'!W$44"),INDIRECT("'"&amp;$M$28&amp;"'!W$45"),INDIRECT("'"&amp;$M$28&amp;"'!W$46"),INDIRECT("'"&amp;$M$28&amp;"'!W$47"),INDIRECT("'"&amp;$M$28&amp;"'!W$48"),INDIRECT("'"&amp;$M$28&amp;"'!W$49"),INDIRECT("'"&amp;$M$28&amp;"'!W$50"),INDIRECT("'"&amp;$M$28&amp;"'!W$51"),INDIRECT("'"&amp;$M$28&amp;"'!W$52"),INDIRECT("'"&amp;$M$28&amp;"'!W$53"),INDIRECT("'"&amp;$M$28&amp;"'!W$54"),INDIRECT("'"&amp;$M$28&amp;"'!W$55"),INDIRECT("'"&amp;$M$28&amp;"'!W$56")),""),""))</f>
        <v/>
      </c>
      <c r="L36" s="194" t="str" cm="1">
        <f t="array" aca="1" ref="L36" ca="1">IF(OR('Project Summary'!$C$19="No",'Project Summary'!$C$19=""),"",_xlfn.IFNA(IF(OR('Project Summary'!$C$19="Yes",'Project Summary'!$C$19=""),CHOOSE(MATCH($M$27,INDIRECT("'"&amp;$M$28&amp;"'!$A$4:$A$56")),INDIRECT("'"&amp;$M$28&amp;"'!X$4"),INDIRECT("'"&amp;$M$28&amp;"'!X$5"),INDIRECT("'"&amp;$M$28&amp;"'!X$6"),INDIRECT("'"&amp;$M$28&amp;"'!X$7"),INDIRECT("'"&amp;$M$28&amp;"'!X$8"),INDIRECT("'"&amp;$M$28&amp;"'!X$9"),INDIRECT("'"&amp;$M$28&amp;"'!X$10"),INDIRECT("'"&amp;$M$28&amp;"'!X$11"),INDIRECT("'"&amp;$M$28&amp;"'!X$12"),INDIRECT("'"&amp;$M$28&amp;"'!X$13"),INDIRECT("'"&amp;$M$28&amp;"'!X$14"),INDIRECT("'"&amp;$M$28&amp;"'!X$15"),INDIRECT("'"&amp;$M$28&amp;"'!X$16"),INDIRECT("'"&amp;$M$28&amp;"'!X$17"),INDIRECT("'"&amp;$M$28&amp;"'!X$18"),INDIRECT("'"&amp;$M$28&amp;"'!X$19"),INDIRECT("'"&amp;$M$28&amp;"'!X$20"),INDIRECT("'"&amp;$M$28&amp;"'!X$21"),INDIRECT("'"&amp;$M$28&amp;"'!X$22"),INDIRECT("'"&amp;$M$28&amp;"'!X$23"),INDIRECT("'"&amp;$M$28&amp;"'!X$24"),INDIRECT("'"&amp;$M$28&amp;"'!X$25"),INDIRECT("'"&amp;$M$28&amp;"'!X$26"),INDIRECT("'"&amp;$M$28&amp;"'!X$27"),INDIRECT("'"&amp;$M$28&amp;"'!X$28"),INDIRECT("'"&amp;$M$28&amp;"'!X$29"),INDIRECT("'"&amp;$M$28&amp;"'!X$30"),INDIRECT("'"&amp;$M$28&amp;"'!X$31"),INDIRECT("'"&amp;$M$28&amp;"'!X$32"),INDIRECT("'"&amp;$M$28&amp;"'!X$33"),INDIRECT("'"&amp;$M$28&amp;"'!X$34"),INDIRECT("'"&amp;$M$28&amp;"'!X$35"),INDIRECT("'"&amp;$M$28&amp;"'!X$36"),INDIRECT("'"&amp;$M$28&amp;"'!X$37"),INDIRECT("'"&amp;$M$28&amp;"'!X$38"),INDIRECT("'"&amp;$M$28&amp;"'!X$39"),INDIRECT("'"&amp;$M$28&amp;"'!X$40"),INDIRECT("'"&amp;$M$28&amp;"'!X$41"),INDIRECT("'"&amp;$M$28&amp;"'!X$42"),INDIRECT("'"&amp;$M$28&amp;"'!X$43"),INDIRECT("'"&amp;$M$28&amp;"'!X$44"),INDIRECT("'"&amp;$M$28&amp;"'!X$45"),INDIRECT("'"&amp;$M$28&amp;"'!X$46"),INDIRECT("'"&amp;$M$28&amp;"'!X$47"),INDIRECT("'"&amp;$M$28&amp;"'!X$48"),INDIRECT("'"&amp;$M$28&amp;"'!X$49"),INDIRECT("'"&amp;$M$28&amp;"'!X$50"),INDIRECT("'"&amp;$M$28&amp;"'!X$51"),INDIRECT("'"&amp;$M$28&amp;"'!X$52"),INDIRECT("'"&amp;$M$28&amp;"'!X$53"),INDIRECT("'"&amp;$M$28&amp;"'!X$54"),INDIRECT("'"&amp;$M$28&amp;"'!X$55"),INDIRECT("'"&amp;$M$28&amp;"'!X$56")),""),""))</f>
        <v/>
      </c>
      <c r="M36" s="194" t="str" cm="1">
        <f t="array" aca="1" ref="M36" ca="1">IF(OR('Project Summary'!$C$19="No",'Project Summary'!$C$19=""),"",_xlfn.IFNA(IF(OR('Project Summary'!$C$19="Yes",'Project Summary'!$C$19=""),CHOOSE(MATCH($M$27,INDIRECT("'"&amp;$M$28&amp;"'!$A$4:$A$56")),INDIRECT("'"&amp;$M$28&amp;"'!Y$4"),INDIRECT("'"&amp;$M$28&amp;"'!Y$5"),INDIRECT("'"&amp;$M$28&amp;"'!Y$6"),INDIRECT("'"&amp;$M$28&amp;"'!Y$7"),INDIRECT("'"&amp;$M$28&amp;"'!Y$8"),INDIRECT("'"&amp;$M$28&amp;"'!Y$9"),INDIRECT("'"&amp;$M$28&amp;"'!Y$10"),INDIRECT("'"&amp;$M$28&amp;"'!Y$11"),INDIRECT("'"&amp;$M$28&amp;"'!Y$12"),INDIRECT("'"&amp;$M$28&amp;"'!Y$13"),INDIRECT("'"&amp;$M$28&amp;"'!Y$14"),INDIRECT("'"&amp;$M$28&amp;"'!Y$15"),INDIRECT("'"&amp;$M$28&amp;"'!Y$16"),INDIRECT("'"&amp;$M$28&amp;"'!Y$17"),INDIRECT("'"&amp;$M$28&amp;"'!Y$18"),INDIRECT("'"&amp;$M$28&amp;"'!Y$19"),INDIRECT("'"&amp;$M$28&amp;"'!Y$20"),INDIRECT("'"&amp;$M$28&amp;"'!Y$21"),INDIRECT("'"&amp;$M$28&amp;"'!Y$22"),INDIRECT("'"&amp;$M$28&amp;"'!Y$23"),INDIRECT("'"&amp;$M$28&amp;"'!Y$24"),INDIRECT("'"&amp;$M$28&amp;"'!Y$25"),INDIRECT("'"&amp;$M$28&amp;"'!Y$26"),INDIRECT("'"&amp;$M$28&amp;"'!Y$27"),INDIRECT("'"&amp;$M$28&amp;"'!Y$28"),INDIRECT("'"&amp;$M$28&amp;"'!Y$29"),INDIRECT("'"&amp;$M$28&amp;"'!Y$30"),INDIRECT("'"&amp;$M$28&amp;"'!Y$31"),INDIRECT("'"&amp;$M$28&amp;"'!Y$32"),INDIRECT("'"&amp;$M$28&amp;"'!Y$33"),INDIRECT("'"&amp;$M$28&amp;"'!Y$34"),INDIRECT("'"&amp;$M$28&amp;"'!Y$35"),INDIRECT("'"&amp;$M$28&amp;"'!Y$36"),INDIRECT("'"&amp;$M$28&amp;"'!Y$37"),INDIRECT("'"&amp;$M$28&amp;"'!Y$38"),INDIRECT("'"&amp;$M$28&amp;"'!Y$39"),INDIRECT("'"&amp;$M$28&amp;"'!Y$40"),INDIRECT("'"&amp;$M$28&amp;"'!Y$41"),INDIRECT("'"&amp;$M$28&amp;"'!Y$42"),INDIRECT("'"&amp;$M$28&amp;"'!Y$43"),INDIRECT("'"&amp;$M$28&amp;"'!Y$44"),INDIRECT("'"&amp;$M$28&amp;"'!Y$45"),INDIRECT("'"&amp;$M$28&amp;"'!Y$46"),INDIRECT("'"&amp;$M$28&amp;"'!Y$47"),INDIRECT("'"&amp;$M$28&amp;"'!Y$48"),INDIRECT("'"&amp;$M$28&amp;"'!Y$49"),INDIRECT("'"&amp;$M$28&amp;"'!Y$50"),INDIRECT("'"&amp;$M$28&amp;"'!Y$51"),INDIRECT("'"&amp;$M$28&amp;"'!Y$52"),INDIRECT("'"&amp;$M$28&amp;"'!Y$53"),INDIRECT("'"&amp;$M$28&amp;"'!Y$54"),INDIRECT("'"&amp;$M$28&amp;"'!Y$55"),INDIRECT("'"&amp;$M$28&amp;"'!Y$56")),""),""))</f>
        <v/>
      </c>
      <c r="N36" s="194" t="str" cm="1">
        <f t="array" aca="1" ref="N36" ca="1">IF(OR('Project Summary'!$C$19="No",'Project Summary'!$C$19=""),"",_xlfn.IFNA(IF(OR('Project Summary'!$C$19="Yes",'Project Summary'!$C$19=""),CHOOSE(MATCH($M$27,INDIRECT("'"&amp;$M$28&amp;"'!$A$4:$A$56")),INDIRECT("'"&amp;$M$28&amp;"'!Z$4"),INDIRECT("'"&amp;$M$28&amp;"'!Z$5"),INDIRECT("'"&amp;$M$28&amp;"'!Z$6"),INDIRECT("'"&amp;$M$28&amp;"'!Z$7"),INDIRECT("'"&amp;$M$28&amp;"'!Z$8"),INDIRECT("'"&amp;$M$28&amp;"'!Z$9"),INDIRECT("'"&amp;$M$28&amp;"'!Z$10"),INDIRECT("'"&amp;$M$28&amp;"'!Z$11"),INDIRECT("'"&amp;$M$28&amp;"'!Z$12"),INDIRECT("'"&amp;$M$28&amp;"'!Z$13"),INDIRECT("'"&amp;$M$28&amp;"'!Z$14"),INDIRECT("'"&amp;$M$28&amp;"'!Z$15"),INDIRECT("'"&amp;$M$28&amp;"'!Z$16"),INDIRECT("'"&amp;$M$28&amp;"'!Z$17"),INDIRECT("'"&amp;$M$28&amp;"'!Z$18"),INDIRECT("'"&amp;$M$28&amp;"'!Z$19"),INDIRECT("'"&amp;$M$28&amp;"'!Z$20"),INDIRECT("'"&amp;$M$28&amp;"'!Z$21"),INDIRECT("'"&amp;$M$28&amp;"'!Z$22"),INDIRECT("'"&amp;$M$28&amp;"'!Z$23"),INDIRECT("'"&amp;$M$28&amp;"'!Z$24"),INDIRECT("'"&amp;$M$28&amp;"'!Z$25"),INDIRECT("'"&amp;$M$28&amp;"'!Z$26"),INDIRECT("'"&amp;$M$28&amp;"'!Z$27"),INDIRECT("'"&amp;$M$28&amp;"'!Z$28"),INDIRECT("'"&amp;$M$28&amp;"'!Z$29"),INDIRECT("'"&amp;$M$28&amp;"'!Z$30"),INDIRECT("'"&amp;$M$28&amp;"'!Z$31"),INDIRECT("'"&amp;$M$28&amp;"'!Z$32"),INDIRECT("'"&amp;$M$28&amp;"'!Z$33"),INDIRECT("'"&amp;$M$28&amp;"'!Z$34"),INDIRECT("'"&amp;$M$28&amp;"'!Z$35"),INDIRECT("'"&amp;$M$28&amp;"'!Z$36"),INDIRECT("'"&amp;$M$28&amp;"'!Z$37"),INDIRECT("'"&amp;$M$28&amp;"'!Z$38"),INDIRECT("'"&amp;$M$28&amp;"'!Z$39"),INDIRECT("'"&amp;$M$28&amp;"'!Z$40"),INDIRECT("'"&amp;$M$28&amp;"'!Z$41"),INDIRECT("'"&amp;$M$28&amp;"'!Z$42"),INDIRECT("'"&amp;$M$28&amp;"'!Z$43"),INDIRECT("'"&amp;$M$28&amp;"'!Z$44"),INDIRECT("'"&amp;$M$28&amp;"'!Z$45"),INDIRECT("'"&amp;$M$28&amp;"'!Z$46"),INDIRECT("'"&amp;$M$28&amp;"'!Z$47"),INDIRECT("'"&amp;$M$28&amp;"'!Z$48"),INDIRECT("'"&amp;$M$28&amp;"'!Z$49"),INDIRECT("'"&amp;$M$28&amp;"'!Z$50"),INDIRECT("'"&amp;$M$28&amp;"'!Z$51"),INDIRECT("'"&amp;$M$28&amp;"'!Z$52"),INDIRECT("'"&amp;$M$28&amp;"'!Z$53"),INDIRECT("'"&amp;$M$28&amp;"'!Z$54"),INDIRECT("'"&amp;$M$28&amp;"'!Z$55"),INDIRECT("'"&amp;$M$28&amp;"'!Z$56")),""),""))</f>
        <v/>
      </c>
      <c r="O36" s="194" t="str" cm="1">
        <f t="array" aca="1" ref="O36" ca="1">IF(OR('Project Summary'!$C$19="No",'Project Summary'!$C$19=""),"",_xlfn.IFNA(IF(OR('Project Summary'!$C$19="Yes",'Project Summary'!$C$19=""),CHOOSE(MATCH($M$27,INDIRECT("'"&amp;$M$28&amp;"'!$A$4:$A$56")),INDIRECT("'"&amp;$M$28&amp;"'!AA$4"),INDIRECT("'"&amp;$M$28&amp;"'!AA$5"),INDIRECT("'"&amp;$M$28&amp;"'!AA$6"),INDIRECT("'"&amp;$M$28&amp;"'!AA$7"),INDIRECT("'"&amp;$M$28&amp;"'!AA$8"),INDIRECT("'"&amp;$M$28&amp;"'!AA$9"),INDIRECT("'"&amp;$M$28&amp;"'!AA$10"),INDIRECT("'"&amp;$M$28&amp;"'!AA$11"),INDIRECT("'"&amp;$M$28&amp;"'!AA$12"),INDIRECT("'"&amp;$M$28&amp;"'!AA$13"),INDIRECT("'"&amp;$M$28&amp;"'!AA$14"),INDIRECT("'"&amp;$M$28&amp;"'!AA$15"),INDIRECT("'"&amp;$M$28&amp;"'!AA$16"),INDIRECT("'"&amp;$M$28&amp;"'!AA$17"),INDIRECT("'"&amp;$M$28&amp;"'!AA$18"),INDIRECT("'"&amp;$M$28&amp;"'!AA$19"),INDIRECT("'"&amp;$M$28&amp;"'!AA$20"),INDIRECT("'"&amp;$M$28&amp;"'!AA$21"),INDIRECT("'"&amp;$M$28&amp;"'!AA$22"),INDIRECT("'"&amp;$M$28&amp;"'!AA$23"),INDIRECT("'"&amp;$M$28&amp;"'!AA$24"),INDIRECT("'"&amp;$M$28&amp;"'!AA$25"),INDIRECT("'"&amp;$M$28&amp;"'!AA$26"),INDIRECT("'"&amp;$M$28&amp;"'!AA$27"),INDIRECT("'"&amp;$M$28&amp;"'!AA$28"),INDIRECT("'"&amp;$M$28&amp;"'!AA$29"),INDIRECT("'"&amp;$M$28&amp;"'!AA$30"),INDIRECT("'"&amp;$M$28&amp;"'!AA$31"),INDIRECT("'"&amp;$M$28&amp;"'!AA$32"),INDIRECT("'"&amp;$M$28&amp;"'!AA$33"),INDIRECT("'"&amp;$M$28&amp;"'!AA$34"),INDIRECT("'"&amp;$M$28&amp;"'!AA$35"),INDIRECT("'"&amp;$M$28&amp;"'!AA$36"),INDIRECT("'"&amp;$M$28&amp;"'!AA$37"),INDIRECT("'"&amp;$M$28&amp;"'!AA$38"),INDIRECT("'"&amp;$M$28&amp;"'!AA$39"),INDIRECT("'"&amp;$M$28&amp;"'!AA$40"),INDIRECT("'"&amp;$M$28&amp;"'!AA$41"),INDIRECT("'"&amp;$M$28&amp;"'!AA$42"),INDIRECT("'"&amp;$M$28&amp;"'!AA$43"),INDIRECT("'"&amp;$M$28&amp;"'!AA$44"),INDIRECT("'"&amp;$M$28&amp;"'!AA$45"),INDIRECT("'"&amp;$M$28&amp;"'!AA$46"),INDIRECT("'"&amp;$M$28&amp;"'!AA$47"),INDIRECT("'"&amp;$M$28&amp;"'!AA$48"),INDIRECT("'"&amp;$M$28&amp;"'!AA$49"),INDIRECT("'"&amp;$M$28&amp;"'!AA$50"),INDIRECT("'"&amp;$M$28&amp;"'!AA$51"),INDIRECT("'"&amp;$M$28&amp;"'!AA$52"),INDIRECT("'"&amp;$M$28&amp;"'!AA$53"),INDIRECT("'"&amp;$M$28&amp;"'!AA$54"),INDIRECT("'"&amp;$M$28&amp;"'!AA$55"),INDIRECT("'"&amp;$M$28&amp;"'!AA$56")),""),""))</f>
        <v/>
      </c>
      <c r="Q36" s="368" t="str">
        <f>_xlfn.IFNA(IF(AND('Project Summary'!$C$19="Yes",$F36="Yes"),MAX(INDEX($K$8:$O$16,1,MATCH($B36,$K$7:$O$7,0)),INDEX($K$8:$O$16,MATCH($C36,$J$8:$J$16,0),MATCH($B36,$K$7:$O$7,0))),INDEX($K$8:$O$16,MATCH($C36,$J$8:$J$16,0),MATCH($B36,$K$7:$O$7,0))),"")</f>
        <v/>
      </c>
      <c r="R36" s="367" t="str">
        <f t="shared" si="1"/>
        <v/>
      </c>
      <c r="T36" s="367" t="str">
        <f>_xlfn.IFNA(IF(AND(OR('Project Summary'!$C$44="No",'Project Summary'!$C$44=""),OR('Project Summary'!$C$89="No",'Project Summary'!$C$89="")),"",IF(AND($F36="Yes",$C36&lt;=30%),MAX(INDEX($K$8:$O$16,1,MATCH($B36,$K$7:$O$7,0)),INDEX($K$8:$O$16,MATCH($C36,$J$8:$J$16,0),MATCH($B36,$K$7:$O$7,0))),INDEX($K$8:$O$16,MATCH($C36,$J$8:$J$16,0),MATCH($B36,$K$7:$O$7,0)))),"")</f>
        <v/>
      </c>
      <c r="U36" s="367" t="str">
        <f t="shared" si="2"/>
        <v/>
      </c>
    </row>
    <row r="37" spans="1:21" ht="15" customHeight="1" x14ac:dyDescent="0.25">
      <c r="B37" s="29"/>
      <c r="C37" s="979"/>
      <c r="D37" s="980"/>
      <c r="E37" s="30"/>
      <c r="F37" s="29"/>
      <c r="G37" s="3">
        <v>0</v>
      </c>
      <c r="H37" s="4">
        <f>E37*G37*12</f>
        <v>0</v>
      </c>
      <c r="I37" s="213"/>
      <c r="J37" s="119">
        <v>0.7</v>
      </c>
      <c r="K37" s="194" t="str" cm="1">
        <f t="array" aca="1" ref="K37" ca="1">IF(OR('Project Summary'!$C$19="No",'Project Summary'!$C$19=""),"",_xlfn.IFNA(IF(OR('Project Summary'!$C$19="Yes",'Project Summary'!$C$19=""),CHOOSE(MATCH($M$27,INDIRECT("'"&amp;$M$28&amp;"'!$A$4:$A$56")),INDIRECT("'"&amp;$M$28&amp;"'!AB$4"),INDIRECT("'"&amp;$M$28&amp;"'!AB$5"),INDIRECT("'"&amp;$M$28&amp;"'!AB$6"),INDIRECT("'"&amp;$M$28&amp;"'!AB$7"),INDIRECT("'"&amp;$M$28&amp;"'!AB$8"),INDIRECT("'"&amp;$M$28&amp;"'!AB$9"),INDIRECT("'"&amp;$M$28&amp;"'!AB$10"),INDIRECT("'"&amp;$M$28&amp;"'!AB$11"),INDIRECT("'"&amp;$M$28&amp;"'!AB$12"),INDIRECT("'"&amp;$M$28&amp;"'!AB$13"),INDIRECT("'"&amp;$M$28&amp;"'!AB$14"),INDIRECT("'"&amp;$M$28&amp;"'!AB$15"),INDIRECT("'"&amp;$M$28&amp;"'!AB$16"),INDIRECT("'"&amp;$M$28&amp;"'!AB$17"),INDIRECT("'"&amp;$M$28&amp;"'!AB$18"),INDIRECT("'"&amp;$M$28&amp;"'!AB$19"),INDIRECT("'"&amp;$M$28&amp;"'!AB$20"),INDIRECT("'"&amp;$M$28&amp;"'!AB$21"),INDIRECT("'"&amp;$M$28&amp;"'!AB$22"),INDIRECT("'"&amp;$M$28&amp;"'!AB$23"),INDIRECT("'"&amp;$M$28&amp;"'!AB$24"),INDIRECT("'"&amp;$M$28&amp;"'!AB$25"),INDIRECT("'"&amp;$M$28&amp;"'!AB$26"),INDIRECT("'"&amp;$M$28&amp;"'!AB$27"),INDIRECT("'"&amp;$M$28&amp;"'!AB$28"),INDIRECT("'"&amp;$M$28&amp;"'!AB$29"),INDIRECT("'"&amp;$M$28&amp;"'!AB$30"),INDIRECT("'"&amp;$M$28&amp;"'!AB$31"),INDIRECT("'"&amp;$M$28&amp;"'!AB$32"),INDIRECT("'"&amp;$M$28&amp;"'!AB$33"),INDIRECT("'"&amp;$M$28&amp;"'!AB$34"),INDIRECT("'"&amp;$M$28&amp;"'!AB$35"),INDIRECT("'"&amp;$M$28&amp;"'!AB$36"),INDIRECT("'"&amp;$M$28&amp;"'!AB$37"),INDIRECT("'"&amp;$M$28&amp;"'!AB$38"),INDIRECT("'"&amp;$M$28&amp;"'!AB$39"),INDIRECT("'"&amp;$M$28&amp;"'!AB$40"),INDIRECT("'"&amp;$M$28&amp;"'!AB$41"),INDIRECT("'"&amp;$M$28&amp;"'!AB$42"),INDIRECT("'"&amp;$M$28&amp;"'!AB$43"),INDIRECT("'"&amp;$M$28&amp;"'!AB$44"),INDIRECT("'"&amp;$M$28&amp;"'!AB$45"),INDIRECT("'"&amp;$M$28&amp;"'!AB$46"),INDIRECT("'"&amp;$M$28&amp;"'!AB$47"),INDIRECT("'"&amp;$M$28&amp;"'!AB$48"),INDIRECT("'"&amp;$M$28&amp;"'!AB$49"),INDIRECT("'"&amp;$M$28&amp;"'!AB$50"),INDIRECT("'"&amp;$M$28&amp;"'!AB$51"),INDIRECT("'"&amp;$M$28&amp;"'!AB$52"),INDIRECT("'"&amp;$M$28&amp;"'!AB$53"),INDIRECT("'"&amp;$M$28&amp;"'!AB$54"),INDIRECT("'"&amp;$M$28&amp;"'!AB$55"),INDIRECT("'"&amp;$M$28&amp;"'!AB$56")),""),""))</f>
        <v/>
      </c>
      <c r="L37" s="194" t="str" cm="1">
        <f t="array" aca="1" ref="L37" ca="1">IF(OR('Project Summary'!$C$19="No",'Project Summary'!$C$19=""),"",_xlfn.IFNA(IF(OR('Project Summary'!$C$19="Yes",'Project Summary'!$C$19=""),CHOOSE(MATCH($M$27,INDIRECT("'"&amp;$M$28&amp;"'!$A$4:$A$56")),INDIRECT("'"&amp;$M$28&amp;"'!AC$4"),INDIRECT("'"&amp;$M$28&amp;"'!AC$5"),INDIRECT("'"&amp;$M$28&amp;"'!AC$6"),INDIRECT("'"&amp;$M$28&amp;"'!AC$7"),INDIRECT("'"&amp;$M$28&amp;"'!AC$8"),INDIRECT("'"&amp;$M$28&amp;"'!AC$9"),INDIRECT("'"&amp;$M$28&amp;"'!AC$10"),INDIRECT("'"&amp;$M$28&amp;"'!AC$11"),INDIRECT("'"&amp;$M$28&amp;"'!AC$12"),INDIRECT("'"&amp;$M$28&amp;"'!AC$13"),INDIRECT("'"&amp;$M$28&amp;"'!AC$14"),INDIRECT("'"&amp;$M$28&amp;"'!AC$15"),INDIRECT("'"&amp;$M$28&amp;"'!AC$16"),INDIRECT("'"&amp;$M$28&amp;"'!AC$17"),INDIRECT("'"&amp;$M$28&amp;"'!AC$18"),INDIRECT("'"&amp;$M$28&amp;"'!AC$19"),INDIRECT("'"&amp;$M$28&amp;"'!AC$20"),INDIRECT("'"&amp;$M$28&amp;"'!AC$21"),INDIRECT("'"&amp;$M$28&amp;"'!AC$22"),INDIRECT("'"&amp;$M$28&amp;"'!AC$23"),INDIRECT("'"&amp;$M$28&amp;"'!AC$24"),INDIRECT("'"&amp;$M$28&amp;"'!AC$25"),INDIRECT("'"&amp;$M$28&amp;"'!AC$26"),INDIRECT("'"&amp;$M$28&amp;"'!AC$27"),INDIRECT("'"&amp;$M$28&amp;"'!AC$28"),INDIRECT("'"&amp;$M$28&amp;"'!AC$29"),INDIRECT("'"&amp;$M$28&amp;"'!AC$30"),INDIRECT("'"&amp;$M$28&amp;"'!AC$31"),INDIRECT("'"&amp;$M$28&amp;"'!AC$32"),INDIRECT("'"&amp;$M$28&amp;"'!AC$33"),INDIRECT("'"&amp;$M$28&amp;"'!AC$34"),INDIRECT("'"&amp;$M$28&amp;"'!AC$35"),INDIRECT("'"&amp;$M$28&amp;"'!AC$36"),INDIRECT("'"&amp;$M$28&amp;"'!AC$37"),INDIRECT("'"&amp;$M$28&amp;"'!AC$38"),INDIRECT("'"&amp;$M$28&amp;"'!AC$39"),INDIRECT("'"&amp;$M$28&amp;"'!AC$40"),INDIRECT("'"&amp;$M$28&amp;"'!AC$41"),INDIRECT("'"&amp;$M$28&amp;"'!AC$42"),INDIRECT("'"&amp;$M$28&amp;"'!AC$43"),INDIRECT("'"&amp;$M$28&amp;"'!AC$44"),INDIRECT("'"&amp;$M$28&amp;"'!AC$45"),INDIRECT("'"&amp;$M$28&amp;"'!AC$46"),INDIRECT("'"&amp;$M$28&amp;"'!AC$47"),INDIRECT("'"&amp;$M$28&amp;"'!AC$48"),INDIRECT("'"&amp;$M$28&amp;"'!AC$49"),INDIRECT("'"&amp;$M$28&amp;"'!AC$50"),INDIRECT("'"&amp;$M$28&amp;"'!AC$51"),INDIRECT("'"&amp;$M$28&amp;"'!AC$52"),INDIRECT("'"&amp;$M$28&amp;"'!AC$53"),INDIRECT("'"&amp;$M$28&amp;"'!AC$54"),INDIRECT("'"&amp;$M$28&amp;"'!AC$55"),INDIRECT("'"&amp;$M$28&amp;"'!AC$56")),""),""))</f>
        <v/>
      </c>
      <c r="M37" s="194" t="str" cm="1">
        <f t="array" aca="1" ref="M37" ca="1">IF(OR('Project Summary'!$C$19="No",'Project Summary'!$C$19=""),"",_xlfn.IFNA(IF(OR('Project Summary'!$C$19="Yes",'Project Summary'!$C$19=""),CHOOSE(MATCH($M$27,INDIRECT("'"&amp;$M$28&amp;"'!$A$4:$A$56")),INDIRECT("'"&amp;$M$28&amp;"'!AD$4"),INDIRECT("'"&amp;$M$28&amp;"'!AD$5"),INDIRECT("'"&amp;$M$28&amp;"'!AD$6"),INDIRECT("'"&amp;$M$28&amp;"'!AD$7"),INDIRECT("'"&amp;$M$28&amp;"'!AD$8"),INDIRECT("'"&amp;$M$28&amp;"'!AD$9"),INDIRECT("'"&amp;$M$28&amp;"'!AD$10"),INDIRECT("'"&amp;$M$28&amp;"'!AD$11"),INDIRECT("'"&amp;$M$28&amp;"'!AD$12"),INDIRECT("'"&amp;$M$28&amp;"'!AD$13"),INDIRECT("'"&amp;$M$28&amp;"'!AD$14"),INDIRECT("'"&amp;$M$28&amp;"'!AD$15"),INDIRECT("'"&amp;$M$28&amp;"'!AD$16"),INDIRECT("'"&amp;$M$28&amp;"'!AD$17"),INDIRECT("'"&amp;$M$28&amp;"'!AD$18"),INDIRECT("'"&amp;$M$28&amp;"'!AD$19"),INDIRECT("'"&amp;$M$28&amp;"'!AD$20"),INDIRECT("'"&amp;$M$28&amp;"'!AD$21"),INDIRECT("'"&amp;$M$28&amp;"'!AD$22"),INDIRECT("'"&amp;$M$28&amp;"'!AD$23"),INDIRECT("'"&amp;$M$28&amp;"'!AD$24"),INDIRECT("'"&amp;$M$28&amp;"'!AD$25"),INDIRECT("'"&amp;$M$28&amp;"'!AD$26"),INDIRECT("'"&amp;$M$28&amp;"'!AD$27"),INDIRECT("'"&amp;$M$28&amp;"'!AD$28"),INDIRECT("'"&amp;$M$28&amp;"'!AD$29"),INDIRECT("'"&amp;$M$28&amp;"'!AD$30"),INDIRECT("'"&amp;$M$28&amp;"'!AD$31"),INDIRECT("'"&amp;$M$28&amp;"'!AD$32"),INDIRECT("'"&amp;$M$28&amp;"'!AD$33"),INDIRECT("'"&amp;$M$28&amp;"'!AD$34"),INDIRECT("'"&amp;$M$28&amp;"'!AD$35"),INDIRECT("'"&amp;$M$28&amp;"'!AD$36"),INDIRECT("'"&amp;$M$28&amp;"'!AD$37"),INDIRECT("'"&amp;$M$28&amp;"'!AD$38"),INDIRECT("'"&amp;$M$28&amp;"'!AD$39"),INDIRECT("'"&amp;$M$28&amp;"'!AD$40"),INDIRECT("'"&amp;$M$28&amp;"'!AD$41"),INDIRECT("'"&amp;$M$28&amp;"'!AD$42"),INDIRECT("'"&amp;$M$28&amp;"'!AD$43"),INDIRECT("'"&amp;$M$28&amp;"'!AD$44"),INDIRECT("'"&amp;$M$28&amp;"'!AD$45"),INDIRECT("'"&amp;$M$28&amp;"'!AD$46"),INDIRECT("'"&amp;$M$28&amp;"'!AD$47"),INDIRECT("'"&amp;$M$28&amp;"'!AD$48"),INDIRECT("'"&amp;$M$28&amp;"'!AD$49"),INDIRECT("'"&amp;$M$28&amp;"'!AD$50"),INDIRECT("'"&amp;$M$28&amp;"'!AD$51"),INDIRECT("'"&amp;$M$28&amp;"'!AD$52"),INDIRECT("'"&amp;$M$28&amp;"'!AD$53"),INDIRECT("'"&amp;$M$28&amp;"'!AD$54"),INDIRECT("'"&amp;$M$28&amp;"'!AD$55"),INDIRECT("'"&amp;$M$28&amp;"'!AD$56")),""),""))</f>
        <v/>
      </c>
      <c r="N37" s="194" t="str" cm="1">
        <f t="array" aca="1" ref="N37" ca="1">IF(OR('Project Summary'!$C$19="No",'Project Summary'!$C$19=""),"",_xlfn.IFNA(IF(OR('Project Summary'!$C$19="Yes",'Project Summary'!$C$19=""),CHOOSE(MATCH($M$27,INDIRECT("'"&amp;$M$28&amp;"'!$A$4:$A$56")),INDIRECT("'"&amp;$M$28&amp;"'!AE$4"),INDIRECT("'"&amp;$M$28&amp;"'!AE$5"),INDIRECT("'"&amp;$M$28&amp;"'!AE$6"),INDIRECT("'"&amp;$M$28&amp;"'!AE$7"),INDIRECT("'"&amp;$M$28&amp;"'!AE$8"),INDIRECT("'"&amp;$M$28&amp;"'!AE$9"),INDIRECT("'"&amp;$M$28&amp;"'!AE$10"),INDIRECT("'"&amp;$M$28&amp;"'!AE$11"),INDIRECT("'"&amp;$M$28&amp;"'!AE$12"),INDIRECT("'"&amp;$M$28&amp;"'!AE$13"),INDIRECT("'"&amp;$M$28&amp;"'!AE$14"),INDIRECT("'"&amp;$M$28&amp;"'!AE$15"),INDIRECT("'"&amp;$M$28&amp;"'!AE$16"),INDIRECT("'"&amp;$M$28&amp;"'!AE$17"),INDIRECT("'"&amp;$M$28&amp;"'!AE$18"),INDIRECT("'"&amp;$M$28&amp;"'!AE$19"),INDIRECT("'"&amp;$M$28&amp;"'!AE$20"),INDIRECT("'"&amp;$M$28&amp;"'!AE$21"),INDIRECT("'"&amp;$M$28&amp;"'!AE$22"),INDIRECT("'"&amp;$M$28&amp;"'!AE$23"),INDIRECT("'"&amp;$M$28&amp;"'!AE$24"),INDIRECT("'"&amp;$M$28&amp;"'!AE$25"),INDIRECT("'"&amp;$M$28&amp;"'!AE$26"),INDIRECT("'"&amp;$M$28&amp;"'!AE$27"),INDIRECT("'"&amp;$M$28&amp;"'!AE$28"),INDIRECT("'"&amp;$M$28&amp;"'!AE$29"),INDIRECT("'"&amp;$M$28&amp;"'!AE$30"),INDIRECT("'"&amp;$M$28&amp;"'!AE$31"),INDIRECT("'"&amp;$M$28&amp;"'!AE$32"),INDIRECT("'"&amp;$M$28&amp;"'!AE$33"),INDIRECT("'"&amp;$M$28&amp;"'!AE$34"),INDIRECT("'"&amp;$M$28&amp;"'!AE$35"),INDIRECT("'"&amp;$M$28&amp;"'!AE$36"),INDIRECT("'"&amp;$M$28&amp;"'!AE$37"),INDIRECT("'"&amp;$M$28&amp;"'!AE$38"),INDIRECT("'"&amp;$M$28&amp;"'!AE$39"),INDIRECT("'"&amp;$M$28&amp;"'!AE$40"),INDIRECT("'"&amp;$M$28&amp;"'!AE$41"),INDIRECT("'"&amp;$M$28&amp;"'!AE$42"),INDIRECT("'"&amp;$M$28&amp;"'!AE$43"),INDIRECT("'"&amp;$M$28&amp;"'!AE$44"),INDIRECT("'"&amp;$M$28&amp;"'!AE$45"),INDIRECT("'"&amp;$M$28&amp;"'!AE$46"),INDIRECT("'"&amp;$M$28&amp;"'!AE$47"),INDIRECT("'"&amp;$M$28&amp;"'!AE$48"),INDIRECT("'"&amp;$M$28&amp;"'!AE$49"),INDIRECT("'"&amp;$M$28&amp;"'!AE$50"),INDIRECT("'"&amp;$M$28&amp;"'!AE$51"),INDIRECT("'"&amp;$M$28&amp;"'!AE$52"),INDIRECT("'"&amp;$M$28&amp;"'!AE$53"),INDIRECT("'"&amp;$M$28&amp;"'!AE$54"),INDIRECT("'"&amp;$M$28&amp;"'!AE$55"),INDIRECT("'"&amp;$M$28&amp;"'!AE$56")),""),""))</f>
        <v/>
      </c>
      <c r="O37" s="194" t="str" cm="1">
        <f t="array" aca="1" ref="O37" ca="1">IF(OR('Project Summary'!$C$19="No",'Project Summary'!$C$19=""),"",_xlfn.IFNA(IF(OR('Project Summary'!$C$19="Yes",'Project Summary'!$C$19=""),CHOOSE(MATCH($M$27,INDIRECT("'"&amp;$M$28&amp;"'!$A$4:$A$56")),INDIRECT("'"&amp;$M$28&amp;"'!AF$4"),INDIRECT("'"&amp;$M$28&amp;"'!AF$5"),INDIRECT("'"&amp;$M$28&amp;"'!AF$6"),INDIRECT("'"&amp;$M$28&amp;"'!AF$7"),INDIRECT("'"&amp;$M$28&amp;"'!AF$8"),INDIRECT("'"&amp;$M$28&amp;"'!AF$9"),INDIRECT("'"&amp;$M$28&amp;"'!AF$10"),INDIRECT("'"&amp;$M$28&amp;"'!AF$11"),INDIRECT("'"&amp;$M$28&amp;"'!AF$12"),INDIRECT("'"&amp;$M$28&amp;"'!AF$13"),INDIRECT("'"&amp;$M$28&amp;"'!AF$14"),INDIRECT("'"&amp;$M$28&amp;"'!AF$15"),INDIRECT("'"&amp;$M$28&amp;"'!AF$16"),INDIRECT("'"&amp;$M$28&amp;"'!AF$17"),INDIRECT("'"&amp;$M$28&amp;"'!AF$18"),INDIRECT("'"&amp;$M$28&amp;"'!AF$19"),INDIRECT("'"&amp;$M$28&amp;"'!AF$20"),INDIRECT("'"&amp;$M$28&amp;"'!AF$21"),INDIRECT("'"&amp;$M$28&amp;"'!AF$22"),INDIRECT("'"&amp;$M$28&amp;"'!AF$23"),INDIRECT("'"&amp;$M$28&amp;"'!AF$24"),INDIRECT("'"&amp;$M$28&amp;"'!AF$25"),INDIRECT("'"&amp;$M$28&amp;"'!AF$26"),INDIRECT("'"&amp;$M$28&amp;"'!AF$27"),INDIRECT("'"&amp;$M$28&amp;"'!AF$28"),INDIRECT("'"&amp;$M$28&amp;"'!AF$29"),INDIRECT("'"&amp;$M$28&amp;"'!AF$30"),INDIRECT("'"&amp;$M$28&amp;"'!AF$31"),INDIRECT("'"&amp;$M$28&amp;"'!AF$32"),INDIRECT("'"&amp;$M$28&amp;"'!AF$33"),INDIRECT("'"&amp;$M$28&amp;"'!AF$34"),INDIRECT("'"&amp;$M$28&amp;"'!AF$35"),INDIRECT("'"&amp;$M$28&amp;"'!AF$36"),INDIRECT("'"&amp;$M$28&amp;"'!AF$37"),INDIRECT("'"&amp;$M$28&amp;"'!AF$38"),INDIRECT("'"&amp;$M$28&amp;"'!AF$39"),INDIRECT("'"&amp;$M$28&amp;"'!AF$40"),INDIRECT("'"&amp;$M$28&amp;"'!AF$41"),INDIRECT("'"&amp;$M$28&amp;"'!AF$42"),INDIRECT("'"&amp;$M$28&amp;"'!AF$43"),INDIRECT("'"&amp;$M$28&amp;"'!AF$44"),INDIRECT("'"&amp;$M$28&amp;"'!AF$45"),INDIRECT("'"&amp;$M$28&amp;"'!AF$46"),INDIRECT("'"&amp;$M$28&amp;"'!AF$47"),INDIRECT("'"&amp;$M$28&amp;"'!AF$48"),INDIRECT("'"&amp;$M$28&amp;"'!AF$49"),INDIRECT("'"&amp;$M$28&amp;"'!AF$50"),INDIRECT("'"&amp;$M$28&amp;"'!AF$51"),INDIRECT("'"&amp;$M$28&amp;"'!AF$52"),INDIRECT("'"&amp;$M$28&amp;"'!AF$53"),INDIRECT("'"&amp;$M$28&amp;"'!AF$54"),INDIRECT("'"&amp;$M$28&amp;"'!AF$55"),INDIRECT("'"&amp;$M$28&amp;"'!AF$56")),""),""))</f>
        <v/>
      </c>
      <c r="Q37" s="368" t="str">
        <f>_xlfn.IFNA(IF(AND('Project Summary'!$C$19="Yes",$F37="Yes"),MAX(INDEX($K$8:$O$16,1,MATCH($B37,$K$7:$O$7,0)),INDEX($K$8:$O$16,MATCH($C37,$J$8:$J$16,0),MATCH($B37,$K$7:$O$7,0))),INDEX($K$8:$O$16,MATCH($C37,$J$8:$J$16,0),MATCH($B37,$K$7:$O$7,0))),"")</f>
        <v/>
      </c>
      <c r="R37" s="367" t="str">
        <f t="shared" si="1"/>
        <v/>
      </c>
      <c r="T37" s="367" t="str">
        <f>_xlfn.IFNA(IF(AND(OR('Project Summary'!$C$44="No",'Project Summary'!$C$44=""),OR('Project Summary'!$C$89="No",'Project Summary'!$C$89="")),"",IF(AND($F37="Yes",$C37&lt;=30%),MAX(INDEX($K$8:$O$16,1,MATCH($B37,$K$7:$O$7,0)),INDEX($K$8:$O$16,MATCH($C37,$J$8:$J$16,0),MATCH($B37,$K$7:$O$7,0))),INDEX($K$8:$O$16,MATCH($C37,$J$8:$J$16,0),MATCH($B37,$K$7:$O$7,0)))),"")</f>
        <v/>
      </c>
      <c r="U37" s="367" t="str">
        <f t="shared" si="2"/>
        <v/>
      </c>
    </row>
    <row r="38" spans="1:21" ht="15" customHeight="1" x14ac:dyDescent="0.25">
      <c r="B38" s="29"/>
      <c r="C38" s="979"/>
      <c r="D38" s="980"/>
      <c r="E38" s="30"/>
      <c r="F38" s="29"/>
      <c r="G38" s="3">
        <v>0</v>
      </c>
      <c r="H38" s="4">
        <f t="shared" ref="H38:H42" si="6">E38*G38*12</f>
        <v>0</v>
      </c>
      <c r="I38" s="213"/>
      <c r="J38" s="119">
        <v>0.8</v>
      </c>
      <c r="K38" s="194" t="str" cm="1">
        <f t="array" aca="1" ref="K38" ca="1">IF(OR('Project Summary'!$C$19="No",'Project Summary'!$C$19=""),"",_xlfn.IFNA(IF(OR('Project Summary'!$C$19="Yes",'Project Summary'!$C$19=""),CHOOSE(MATCH($M$27,INDIRECT("'"&amp;$M$28&amp;"'!$A$4:$A$56")),INDIRECT("'"&amp;$M$28&amp;"'!AG$4"),INDIRECT("'"&amp;$M$28&amp;"'!AG$5"),INDIRECT("'"&amp;$M$28&amp;"'!AG$6"),INDIRECT("'"&amp;$M$28&amp;"'!AG$7"),INDIRECT("'"&amp;$M$28&amp;"'!AG$8"),INDIRECT("'"&amp;$M$28&amp;"'!AG$9"),INDIRECT("'"&amp;$M$28&amp;"'!AG$10"),INDIRECT("'"&amp;$M$28&amp;"'!AG$11"),INDIRECT("'"&amp;$M$28&amp;"'!AG$12"),INDIRECT("'"&amp;$M$28&amp;"'!AG$13"),INDIRECT("'"&amp;$M$28&amp;"'!AG$14"),INDIRECT("'"&amp;$M$28&amp;"'!AG$15"),INDIRECT("'"&amp;$M$28&amp;"'!AG$16"),INDIRECT("'"&amp;$M$28&amp;"'!AG$17"),INDIRECT("'"&amp;$M$28&amp;"'!AG$18"),INDIRECT("'"&amp;$M$28&amp;"'!AG$19"),INDIRECT("'"&amp;$M$28&amp;"'!AG$20"),INDIRECT("'"&amp;$M$28&amp;"'!AG$21"),INDIRECT("'"&amp;$M$28&amp;"'!AG$22"),INDIRECT("'"&amp;$M$28&amp;"'!AG$23"),INDIRECT("'"&amp;$M$28&amp;"'!AG$24"),INDIRECT("'"&amp;$M$28&amp;"'!AG$25"),INDIRECT("'"&amp;$M$28&amp;"'!AG$26"),INDIRECT("'"&amp;$M$28&amp;"'!AG$27"),INDIRECT("'"&amp;$M$28&amp;"'!AG$28"),INDIRECT("'"&amp;$M$28&amp;"'!AG$29"),INDIRECT("'"&amp;$M$28&amp;"'!AG$30"),INDIRECT("'"&amp;$M$28&amp;"'!AG$31"),INDIRECT("'"&amp;$M$28&amp;"'!AG$32"),INDIRECT("'"&amp;$M$28&amp;"'!AG$33"),INDIRECT("'"&amp;$M$28&amp;"'!AG$34"),INDIRECT("'"&amp;$M$28&amp;"'!AG$35"),INDIRECT("'"&amp;$M$28&amp;"'!AG$36"),INDIRECT("'"&amp;$M$28&amp;"'!AG$37"),INDIRECT("'"&amp;$M$28&amp;"'!AG$38"),INDIRECT("'"&amp;$M$28&amp;"'!AG$39"),INDIRECT("'"&amp;$M$28&amp;"'!AG$40"),INDIRECT("'"&amp;$M$28&amp;"'!AG$41"),INDIRECT("'"&amp;$M$28&amp;"'!AG$42"),INDIRECT("'"&amp;$M$28&amp;"'!AG$43"),INDIRECT("'"&amp;$M$28&amp;"'!AG$44"),INDIRECT("'"&amp;$M$28&amp;"'!AG$45"),INDIRECT("'"&amp;$M$28&amp;"'!AG$46"),INDIRECT("'"&amp;$M$28&amp;"'!AG$47"),INDIRECT("'"&amp;$M$28&amp;"'!AG$48"),INDIRECT("'"&amp;$M$28&amp;"'!AG$49"),INDIRECT("'"&amp;$M$28&amp;"'!AG$50"),INDIRECT("'"&amp;$M$28&amp;"'!AG$51"),INDIRECT("'"&amp;$M$28&amp;"'!AG$52"),INDIRECT("'"&amp;$M$28&amp;"'!AG$53"),INDIRECT("'"&amp;$M$28&amp;"'!AG$54"),INDIRECT("'"&amp;$M$28&amp;"'!AG$55"),INDIRECT("'"&amp;$M$28&amp;"'!AG$56")),""),""))</f>
        <v/>
      </c>
      <c r="L38" s="194" t="str" cm="1">
        <f t="array" aca="1" ref="L38" ca="1">IF(OR('Project Summary'!$C$19="No",'Project Summary'!$C$19=""),"",_xlfn.IFNA(IF(OR('Project Summary'!$C$19="Yes",'Project Summary'!$C$19=""),CHOOSE(MATCH($M$27,INDIRECT("'"&amp;$M$28&amp;"'!$A$4:$A$56")),INDIRECT("'"&amp;$M$28&amp;"'!AH$4"),INDIRECT("'"&amp;$M$28&amp;"'!AH$5"),INDIRECT("'"&amp;$M$28&amp;"'!AH$6"),INDIRECT("'"&amp;$M$28&amp;"'!AH$7"),INDIRECT("'"&amp;$M$28&amp;"'!AH$8"),INDIRECT("'"&amp;$M$28&amp;"'!AH$9"),INDIRECT("'"&amp;$M$28&amp;"'!AH$10"),INDIRECT("'"&amp;$M$28&amp;"'!AH$11"),INDIRECT("'"&amp;$M$28&amp;"'!AH$12"),INDIRECT("'"&amp;$M$28&amp;"'!AH$13"),INDIRECT("'"&amp;$M$28&amp;"'!AH$14"),INDIRECT("'"&amp;$M$28&amp;"'!AH$15"),INDIRECT("'"&amp;$M$28&amp;"'!AH$16"),INDIRECT("'"&amp;$M$28&amp;"'!AH$17"),INDIRECT("'"&amp;$M$28&amp;"'!AH$18"),INDIRECT("'"&amp;$M$28&amp;"'!AH$19"),INDIRECT("'"&amp;$M$28&amp;"'!AH$20"),INDIRECT("'"&amp;$M$28&amp;"'!AH$21"),INDIRECT("'"&amp;$M$28&amp;"'!AH$22"),INDIRECT("'"&amp;$M$28&amp;"'!AH$23"),INDIRECT("'"&amp;$M$28&amp;"'!AH$24"),INDIRECT("'"&amp;$M$28&amp;"'!AH$25"),INDIRECT("'"&amp;$M$28&amp;"'!AH$26"),INDIRECT("'"&amp;$M$28&amp;"'!AH$27"),INDIRECT("'"&amp;$M$28&amp;"'!AH$28"),INDIRECT("'"&amp;$M$28&amp;"'!AH$29"),INDIRECT("'"&amp;$M$28&amp;"'!AH$30"),INDIRECT("'"&amp;$M$28&amp;"'!AH$31"),INDIRECT("'"&amp;$M$28&amp;"'!AH$32"),INDIRECT("'"&amp;$M$28&amp;"'!AH$33"),INDIRECT("'"&amp;$M$28&amp;"'!AH$34"),INDIRECT("'"&amp;$M$28&amp;"'!AH$35"),INDIRECT("'"&amp;$M$28&amp;"'!AH$36"),INDIRECT("'"&amp;$M$28&amp;"'!AH$37"),INDIRECT("'"&amp;$M$28&amp;"'!AH$38"),INDIRECT("'"&amp;$M$28&amp;"'!AH$39"),INDIRECT("'"&amp;$M$28&amp;"'!AH$40"),INDIRECT("'"&amp;$M$28&amp;"'!AH$41"),INDIRECT("'"&amp;$M$28&amp;"'!AH$42"),INDIRECT("'"&amp;$M$28&amp;"'!AH$43"),INDIRECT("'"&amp;$M$28&amp;"'!AH$44"),INDIRECT("'"&amp;$M$28&amp;"'!AH$45"),INDIRECT("'"&amp;$M$28&amp;"'!AH$46"),INDIRECT("'"&amp;$M$28&amp;"'!AH$47"),INDIRECT("'"&amp;$M$28&amp;"'!AH$48"),INDIRECT("'"&amp;$M$28&amp;"'!AH$49"),INDIRECT("'"&amp;$M$28&amp;"'!AH$50"),INDIRECT("'"&amp;$M$28&amp;"'!AH$51"),INDIRECT("'"&amp;$M$28&amp;"'!AH$52"),INDIRECT("'"&amp;$M$28&amp;"'!AH$53"),INDIRECT("'"&amp;$M$28&amp;"'!AH$54"),INDIRECT("'"&amp;$M$28&amp;"'!AH$55"),INDIRECT("'"&amp;$M$28&amp;"'!AH$56")),""),""))</f>
        <v/>
      </c>
      <c r="M38" s="194" t="str" cm="1">
        <f t="array" aca="1" ref="M38" ca="1">IF(OR('Project Summary'!$C$19="No",'Project Summary'!$C$19=""),"",_xlfn.IFNA(IF(OR('Project Summary'!$C$19="Yes",'Project Summary'!$C$19=""),CHOOSE(MATCH($M$27,INDIRECT("'"&amp;$M$28&amp;"'!$A$4:$A$56")),INDIRECT("'"&amp;$M$28&amp;"'!AI$4"),INDIRECT("'"&amp;$M$28&amp;"'!AI$5"),INDIRECT("'"&amp;$M$28&amp;"'!AI$6"),INDIRECT("'"&amp;$M$28&amp;"'!AI$7"),INDIRECT("'"&amp;$M$28&amp;"'!AI$8"),INDIRECT("'"&amp;$M$28&amp;"'!AI$9"),INDIRECT("'"&amp;$M$28&amp;"'!AI$10"),INDIRECT("'"&amp;$M$28&amp;"'!AI$11"),INDIRECT("'"&amp;$M$28&amp;"'!AI$12"),INDIRECT("'"&amp;$M$28&amp;"'!AI$13"),INDIRECT("'"&amp;$M$28&amp;"'!AI$14"),INDIRECT("'"&amp;$M$28&amp;"'!AI$15"),INDIRECT("'"&amp;$M$28&amp;"'!AI$16"),INDIRECT("'"&amp;$M$28&amp;"'!AI$17"),INDIRECT("'"&amp;$M$28&amp;"'!AI$18"),INDIRECT("'"&amp;$M$28&amp;"'!AI$19"),INDIRECT("'"&amp;$M$28&amp;"'!AI$20"),INDIRECT("'"&amp;$M$28&amp;"'!AI$21"),INDIRECT("'"&amp;$M$28&amp;"'!AI$22"),INDIRECT("'"&amp;$M$28&amp;"'!AI$23"),INDIRECT("'"&amp;$M$28&amp;"'!AI$24"),INDIRECT("'"&amp;$M$28&amp;"'!AI$25"),INDIRECT("'"&amp;$M$28&amp;"'!AI$26"),INDIRECT("'"&amp;$M$28&amp;"'!AI$27"),INDIRECT("'"&amp;$M$28&amp;"'!AI$28"),INDIRECT("'"&amp;$M$28&amp;"'!AI$29"),INDIRECT("'"&amp;$M$28&amp;"'!AI$30"),INDIRECT("'"&amp;$M$28&amp;"'!AI$31"),INDIRECT("'"&amp;$M$28&amp;"'!AI$32"),INDIRECT("'"&amp;$M$28&amp;"'!AI$33"),INDIRECT("'"&amp;$M$28&amp;"'!AI$34"),INDIRECT("'"&amp;$M$28&amp;"'!AI$35"),INDIRECT("'"&amp;$M$28&amp;"'!AI$36"),INDIRECT("'"&amp;$M$28&amp;"'!AI$37"),INDIRECT("'"&amp;$M$28&amp;"'!AI$38"),INDIRECT("'"&amp;$M$28&amp;"'!AI$39"),INDIRECT("'"&amp;$M$28&amp;"'!AI$40"),INDIRECT("'"&amp;$M$28&amp;"'!AI$41"),INDIRECT("'"&amp;$M$28&amp;"'!AI$42"),INDIRECT("'"&amp;$M$28&amp;"'!AI$43"),INDIRECT("'"&amp;$M$28&amp;"'!AI$44"),INDIRECT("'"&amp;$M$28&amp;"'!AI$45"),INDIRECT("'"&amp;$M$28&amp;"'!AI$46"),INDIRECT("'"&amp;$M$28&amp;"'!AI$47"),INDIRECT("'"&amp;$M$28&amp;"'!AI$48"),INDIRECT("'"&amp;$M$28&amp;"'!AI$49"),INDIRECT("'"&amp;$M$28&amp;"'!AI$50"),INDIRECT("'"&amp;$M$28&amp;"'!AI$51"),INDIRECT("'"&amp;$M$28&amp;"'!AI$52"),INDIRECT("'"&amp;$M$28&amp;"'!AI$53"),INDIRECT("'"&amp;$M$28&amp;"'!AI$54"),INDIRECT("'"&amp;$M$28&amp;"'!AI$55"),INDIRECT("'"&amp;$M$28&amp;"'!AI$56")),""),""))</f>
        <v/>
      </c>
      <c r="N38" s="194" t="str" cm="1">
        <f t="array" aca="1" ref="N38" ca="1">IF(OR('Project Summary'!$C$19="No",'Project Summary'!$C$19=""),"",_xlfn.IFNA(IF(OR('Project Summary'!$C$19="Yes",'Project Summary'!$C$19=""),CHOOSE(MATCH($M$27,INDIRECT("'"&amp;$M$28&amp;"'!$A$4:$A$56")),INDIRECT("'"&amp;$M$28&amp;"'!AJ$4"),INDIRECT("'"&amp;$M$28&amp;"'!AJ$5"),INDIRECT("'"&amp;$M$28&amp;"'!AJ$6"),INDIRECT("'"&amp;$M$28&amp;"'!AJ$7"),INDIRECT("'"&amp;$M$28&amp;"'!AJ$8"),INDIRECT("'"&amp;$M$28&amp;"'!AJ$9"),INDIRECT("'"&amp;$M$28&amp;"'!AJ$10"),INDIRECT("'"&amp;$M$28&amp;"'!AJ$11"),INDIRECT("'"&amp;$M$28&amp;"'!AJ$12"),INDIRECT("'"&amp;$M$28&amp;"'!AJ$13"),INDIRECT("'"&amp;$M$28&amp;"'!AJ$14"),INDIRECT("'"&amp;$M$28&amp;"'!AJ$15"),INDIRECT("'"&amp;$M$28&amp;"'!AJ$16"),INDIRECT("'"&amp;$M$28&amp;"'!AJ$17"),INDIRECT("'"&amp;$M$28&amp;"'!AJ$18"),INDIRECT("'"&amp;$M$28&amp;"'!AJ$19"),INDIRECT("'"&amp;$M$28&amp;"'!AJ$20"),INDIRECT("'"&amp;$M$28&amp;"'!AJ$21"),INDIRECT("'"&amp;$M$28&amp;"'!AJ$22"),INDIRECT("'"&amp;$M$28&amp;"'!AJ$23"),INDIRECT("'"&amp;$M$28&amp;"'!AJ$24"),INDIRECT("'"&amp;$M$28&amp;"'!AJ$25"),INDIRECT("'"&amp;$M$28&amp;"'!AJ$26"),INDIRECT("'"&amp;$M$28&amp;"'!AJ$27"),INDIRECT("'"&amp;$M$28&amp;"'!AJ$28"),INDIRECT("'"&amp;$M$28&amp;"'!AJ$29"),INDIRECT("'"&amp;$M$28&amp;"'!AJ$30"),INDIRECT("'"&amp;$M$28&amp;"'!AJ$31"),INDIRECT("'"&amp;$M$28&amp;"'!AJ$32"),INDIRECT("'"&amp;$M$28&amp;"'!AJ$33"),INDIRECT("'"&amp;$M$28&amp;"'!AJ$34"),INDIRECT("'"&amp;$M$28&amp;"'!AJ$35"),INDIRECT("'"&amp;$M$28&amp;"'!AJ$36"),INDIRECT("'"&amp;$M$28&amp;"'!AJ$37"),INDIRECT("'"&amp;$M$28&amp;"'!AJ$38"),INDIRECT("'"&amp;$M$28&amp;"'!AJ$39"),INDIRECT("'"&amp;$M$28&amp;"'!AJ$40"),INDIRECT("'"&amp;$M$28&amp;"'!AJ$41"),INDIRECT("'"&amp;$M$28&amp;"'!AJ$42"),INDIRECT("'"&amp;$M$28&amp;"'!AJ$43"),INDIRECT("'"&amp;$M$28&amp;"'!AJ$44"),INDIRECT("'"&amp;$M$28&amp;"'!AJ$45"),INDIRECT("'"&amp;$M$28&amp;"'!AJ$46"),INDIRECT("'"&amp;$M$28&amp;"'!AJ$47"),INDIRECT("'"&amp;$M$28&amp;"'!AJ$48"),INDIRECT("'"&amp;$M$28&amp;"'!AJ$49"),INDIRECT("'"&amp;$M$28&amp;"'!AJ$50"),INDIRECT("'"&amp;$M$28&amp;"'!AJ$51"),INDIRECT("'"&amp;$M$28&amp;"'!AJ$52"),INDIRECT("'"&amp;$M$28&amp;"'!AJ$53"),INDIRECT("'"&amp;$M$28&amp;"'!AJ$54"),INDIRECT("'"&amp;$M$28&amp;"'!AJ$55"),INDIRECT("'"&amp;$M$28&amp;"'!AJ$56")),""),""))</f>
        <v/>
      </c>
      <c r="O38" s="194" t="str" cm="1">
        <f t="array" aca="1" ref="O38" ca="1">IF(OR('Project Summary'!$C$19="No",'Project Summary'!$C$19=""),"",_xlfn.IFNA(IF(OR('Project Summary'!$C$19="Yes",'Project Summary'!$C$19=""),CHOOSE(MATCH($M$27,INDIRECT("'"&amp;$M$28&amp;"'!$A$4:$A$56")),INDIRECT("'"&amp;$M$28&amp;"'!AK$4"),INDIRECT("'"&amp;$M$28&amp;"'!AK$5"),INDIRECT("'"&amp;$M$28&amp;"'!AK$6"),INDIRECT("'"&amp;$M$28&amp;"'!AK$7"),INDIRECT("'"&amp;$M$28&amp;"'!AK$8"),INDIRECT("'"&amp;$M$28&amp;"'!AK$9"),INDIRECT("'"&amp;$M$28&amp;"'!AK$10"),INDIRECT("'"&amp;$M$28&amp;"'!AK$11"),INDIRECT("'"&amp;$M$28&amp;"'!AK$12"),INDIRECT("'"&amp;$M$28&amp;"'!AK$13"),INDIRECT("'"&amp;$M$28&amp;"'!AK$14"),INDIRECT("'"&amp;$M$28&amp;"'!AK$15"),INDIRECT("'"&amp;$M$28&amp;"'!AK$16"),INDIRECT("'"&amp;$M$28&amp;"'!AK$17"),INDIRECT("'"&amp;$M$28&amp;"'!AK$18"),INDIRECT("'"&amp;$M$28&amp;"'!AK$19"),INDIRECT("'"&amp;$M$28&amp;"'!AK$20"),INDIRECT("'"&amp;$M$28&amp;"'!AK$21"),INDIRECT("'"&amp;$M$28&amp;"'!AK$22"),INDIRECT("'"&amp;$M$28&amp;"'!AK$23"),INDIRECT("'"&amp;$M$28&amp;"'!AK$24"),INDIRECT("'"&amp;$M$28&amp;"'!AK$25"),INDIRECT("'"&amp;$M$28&amp;"'!AK$26"),INDIRECT("'"&amp;$M$28&amp;"'!AK$27"),INDIRECT("'"&amp;$M$28&amp;"'!AK$28"),INDIRECT("'"&amp;$M$28&amp;"'!AK$29"),INDIRECT("'"&amp;$M$28&amp;"'!AK$30"),INDIRECT("'"&amp;$M$28&amp;"'!AK$31"),INDIRECT("'"&amp;$M$28&amp;"'!AK$32"),INDIRECT("'"&amp;$M$28&amp;"'!AK$33"),INDIRECT("'"&amp;$M$28&amp;"'!AK$34"),INDIRECT("'"&amp;$M$28&amp;"'!AK$35"),INDIRECT("'"&amp;$M$28&amp;"'!AK$36"),INDIRECT("'"&amp;$M$28&amp;"'!AK$37"),INDIRECT("'"&amp;$M$28&amp;"'!AK$38"),INDIRECT("'"&amp;$M$28&amp;"'!AK$39"),INDIRECT("'"&amp;$M$28&amp;"'!AK$40"),INDIRECT("'"&amp;$M$28&amp;"'!AK$41"),INDIRECT("'"&amp;$M$28&amp;"'!AK$42"),INDIRECT("'"&amp;$M$28&amp;"'!AK$43"),INDIRECT("'"&amp;$M$28&amp;"'!AK$44"),INDIRECT("'"&amp;$M$28&amp;"'!AK$45"),INDIRECT("'"&amp;$M$28&amp;"'!AK$46"),INDIRECT("'"&amp;$M$28&amp;"'!AK$47"),INDIRECT("'"&amp;$M$28&amp;"'!AK$48"),INDIRECT("'"&amp;$M$28&amp;"'!AK$49"),INDIRECT("'"&amp;$M$28&amp;"'!AK$50"),INDIRECT("'"&amp;$M$28&amp;"'!AK$51"),INDIRECT("'"&amp;$M$28&amp;"'!AK$52"),INDIRECT("'"&amp;$M$28&amp;"'!AK$53"),INDIRECT("'"&amp;$M$28&amp;"'!AK$54"),INDIRECT("'"&amp;$M$28&amp;"'!AK$55"),INDIRECT("'"&amp;$M$28&amp;"'!AK$56")),""),""))</f>
        <v/>
      </c>
      <c r="Q38" s="368" t="str">
        <f>_xlfn.IFNA(IF(AND('Project Summary'!$C$19="Yes",$F38="Yes"),MAX(INDEX($K$8:$O$16,1,MATCH($B38,$K$7:$O$7,0)),INDEX($K$8:$O$16,MATCH($C38,$J$8:$J$16,0),MATCH($B38,$K$7:$O$7,0))),INDEX($K$8:$O$16,MATCH($C38,$J$8:$J$16,0),MATCH($B38,$K$7:$O$7,0))),"")</f>
        <v/>
      </c>
      <c r="R38" s="367" t="str">
        <f t="shared" si="1"/>
        <v/>
      </c>
      <c r="T38" s="367" t="str">
        <f>_xlfn.IFNA(IF(AND(OR('Project Summary'!$C$44="No",'Project Summary'!$C$44=""),OR('Project Summary'!$C$89="No",'Project Summary'!$C$89="")),"",IF(AND($F38="Yes",$C38&lt;=30%),MAX(INDEX($K$8:$O$16,1,MATCH($B38,$K$7:$O$7,0)),INDEX($K$8:$O$16,MATCH($C38,$J$8:$J$16,0),MATCH($B38,$K$7:$O$7,0))),INDEX($K$8:$O$16,MATCH($C38,$J$8:$J$16,0),MATCH($B38,$K$7:$O$7,0)))),"")</f>
        <v/>
      </c>
      <c r="U38" s="367" t="str">
        <f t="shared" si="2"/>
        <v/>
      </c>
    </row>
    <row r="39" spans="1:21" ht="15" customHeight="1" x14ac:dyDescent="0.25">
      <c r="B39" s="29"/>
      <c r="C39" s="979"/>
      <c r="D39" s="980"/>
      <c r="E39" s="30"/>
      <c r="F39" s="29"/>
      <c r="G39" s="3">
        <v>0</v>
      </c>
      <c r="H39" s="4">
        <f t="shared" si="6"/>
        <v>0</v>
      </c>
      <c r="Q39" s="368" t="str">
        <f>_xlfn.IFNA(IF(AND('Project Summary'!$C$19="Yes",$F39="Yes"),MAX(INDEX($K$8:$O$16,1,MATCH($B39,$K$7:$O$7,0)),INDEX($K$8:$O$16,MATCH($C39,$J$8:$J$16,0),MATCH($B39,$K$7:$O$7,0))),INDEX($K$8:$O$16,MATCH($C39,$J$8:$J$16,0),MATCH($B39,$K$7:$O$7,0))),"")</f>
        <v/>
      </c>
      <c r="R39" s="367" t="str">
        <f t="shared" si="1"/>
        <v/>
      </c>
      <c r="T39" s="367" t="str">
        <f>_xlfn.IFNA(IF(AND(OR('Project Summary'!$C$44="No",'Project Summary'!$C$44=""),OR('Project Summary'!$C$89="No",'Project Summary'!$C$89="")),"",IF(AND($F39="Yes",$C39&lt;=30%),MAX(INDEX($K$8:$O$16,1,MATCH($B39,$K$7:$O$7,0)),INDEX($K$8:$O$16,MATCH($C39,$J$8:$J$16,0),MATCH($B39,$K$7:$O$7,0))),INDEX($K$8:$O$16,MATCH($C39,$J$8:$J$16,0),MATCH($B39,$K$7:$O$7,0)))),"")</f>
        <v/>
      </c>
      <c r="U39" s="367" t="str">
        <f t="shared" si="2"/>
        <v/>
      </c>
    </row>
    <row r="40" spans="1:21" ht="15" customHeight="1" x14ac:dyDescent="0.3">
      <c r="B40" s="29"/>
      <c r="C40" s="979"/>
      <c r="D40" s="980"/>
      <c r="E40" s="30"/>
      <c r="F40" s="29"/>
      <c r="G40" s="3">
        <v>0</v>
      </c>
      <c r="H40" s="4">
        <f t="shared" si="6"/>
        <v>0</v>
      </c>
      <c r="J40" s="977" t="s">
        <v>1111</v>
      </c>
      <c r="K40" s="977"/>
      <c r="L40" s="977"/>
      <c r="M40" s="976" t="s">
        <v>1121</v>
      </c>
      <c r="N40" s="976"/>
      <c r="Q40" s="368" t="str">
        <f>_xlfn.IFNA(IF(AND('Project Summary'!$C$19="Yes",$F40="Yes"),MAX(INDEX($K$8:$O$16,1,MATCH($B40,$K$7:$O$7,0)),INDEX($K$8:$O$16,MATCH($C40,$J$8:$J$16,0),MATCH($B40,$K$7:$O$7,0))),INDEX($K$8:$O$16,MATCH($C40,$J$8:$J$16,0),MATCH($B40,$K$7:$O$7,0))),"")</f>
        <v/>
      </c>
      <c r="R40" s="367" t="str">
        <f t="shared" si="1"/>
        <v/>
      </c>
      <c r="T40" s="367" t="str">
        <f>_xlfn.IFNA(IF(AND(OR('Project Summary'!$C$44="No",'Project Summary'!$C$44=""),OR('Project Summary'!$C$89="No",'Project Summary'!$C$89="")),"",IF(AND($F40="Yes",$C40&lt;=30%),MAX(INDEX($K$8:$O$16,1,MATCH($B40,$K$7:$O$7,0)),INDEX($K$8:$O$16,MATCH($C40,$J$8:$J$16,0),MATCH($B40,$K$7:$O$7,0))),INDEX($K$8:$O$16,MATCH($C40,$J$8:$J$16,0),MATCH($B40,$K$7:$O$7,0)))),"")</f>
        <v/>
      </c>
      <c r="U40" s="367" t="str">
        <f t="shared" si="2"/>
        <v/>
      </c>
    </row>
    <row r="41" spans="1:21" ht="15" customHeight="1" x14ac:dyDescent="0.25">
      <c r="B41" s="29"/>
      <c r="C41" s="979"/>
      <c r="D41" s="980"/>
      <c r="E41" s="30"/>
      <c r="F41" s="29"/>
      <c r="G41" s="3">
        <v>0</v>
      </c>
      <c r="H41" s="4">
        <f t="shared" si="6"/>
        <v>0</v>
      </c>
      <c r="K41" s="973" t="s">
        <v>135</v>
      </c>
      <c r="L41" s="974"/>
      <c r="M41" s="974"/>
      <c r="N41" s="974"/>
      <c r="O41" s="975"/>
      <c r="P41" s="218"/>
      <c r="Q41" s="368" t="str">
        <f>_xlfn.IFNA(IF(AND('Project Summary'!$C$19="Yes",$F41="Yes"),MAX(INDEX($K$8:$O$16,1,MATCH($B41,$K$7:$O$7,0)),INDEX($K$8:$O$16,MATCH($C41,$J$8:$J$16,0),MATCH($B41,$K$7:$O$7,0))),INDEX($K$8:$O$16,MATCH($C41,$J$8:$J$16,0),MATCH($B41,$K$7:$O$7,0))),"")</f>
        <v/>
      </c>
      <c r="R41" s="367" t="str">
        <f t="shared" si="1"/>
        <v/>
      </c>
      <c r="T41" s="367" t="str">
        <f>_xlfn.IFNA(IF(AND(OR('Project Summary'!$C$44="No",'Project Summary'!$C$44=""),OR('Project Summary'!$C$89="No",'Project Summary'!$C$89="")),"",IF(AND($F41="Yes",$C41&lt;=30%),MAX(INDEX($K$8:$O$16,1,MATCH($B41,$K$7:$O$7,0)),INDEX($K$8:$O$16,MATCH($C41,$J$8:$J$16,0),MATCH($B41,$K$7:$O$7,0))),INDEX($K$8:$O$16,MATCH($C41,$J$8:$J$16,0),MATCH($B41,$K$7:$O$7,0)))),"")</f>
        <v/>
      </c>
      <c r="U41" s="367" t="str">
        <f t="shared" si="2"/>
        <v/>
      </c>
    </row>
    <row r="42" spans="1:21" ht="15" customHeight="1" x14ac:dyDescent="0.25">
      <c r="B42" s="29"/>
      <c r="C42" s="979"/>
      <c r="D42" s="980"/>
      <c r="E42" s="30"/>
      <c r="F42" s="29"/>
      <c r="G42" s="3">
        <v>0</v>
      </c>
      <c r="H42" s="4">
        <f t="shared" si="6"/>
        <v>0</v>
      </c>
      <c r="J42" s="215"/>
      <c r="K42" s="216" t="str">
        <f>K$30</f>
        <v>Efficiency</v>
      </c>
      <c r="L42" s="216">
        <f>L$30</f>
        <v>1</v>
      </c>
      <c r="M42" s="216">
        <f>M$30</f>
        <v>2</v>
      </c>
      <c r="N42" s="216">
        <f>N$30</f>
        <v>3</v>
      </c>
      <c r="O42" s="216">
        <f>O$30</f>
        <v>4</v>
      </c>
      <c r="Q42" s="368" t="str">
        <f>_xlfn.IFNA(IF(AND('Project Summary'!$C$19="Yes",$F42="Yes"),MAX(INDEX($K$8:$O$16,1,MATCH($B42,$K$7:$O$7,0)),INDEX($K$8:$O$16,MATCH($C42,$J$8:$J$16,0),MATCH($B42,$K$7:$O$7,0))),INDEX($K$8:$O$16,MATCH($C42,$J$8:$J$16,0),MATCH($B42,$K$7:$O$7,0))),"")</f>
        <v/>
      </c>
      <c r="R42" s="367" t="str">
        <f t="shared" si="1"/>
        <v/>
      </c>
      <c r="T42" s="367" t="str">
        <f>_xlfn.IFNA(IF(AND(OR('Project Summary'!$C$44="No",'Project Summary'!$C$44=""),OR('Project Summary'!$C$89="No",'Project Summary'!$C$89="")),"",IF(AND($F42="Yes",$C42&lt;=30%),MAX(INDEX($K$8:$O$16,1,MATCH($B42,$K$7:$O$7,0)),INDEX($K$8:$O$16,MATCH($C42,$J$8:$J$16,0),MATCH($B42,$K$7:$O$7,0))),INDEX($K$8:$O$16,MATCH($C42,$J$8:$J$16,0),MATCH($B42,$K$7:$O$7,0)))),"")</f>
        <v/>
      </c>
      <c r="U42" s="367" t="str">
        <f t="shared" si="2"/>
        <v/>
      </c>
    </row>
    <row r="43" spans="1:21" ht="15" customHeight="1" x14ac:dyDescent="0.25">
      <c r="B43" s="29"/>
      <c r="C43" s="979"/>
      <c r="D43" s="980"/>
      <c r="E43" s="30"/>
      <c r="F43" s="29"/>
      <c r="G43" s="3">
        <v>0</v>
      </c>
      <c r="H43" s="4">
        <f>E43*G43*12</f>
        <v>0</v>
      </c>
      <c r="J43" s="119" t="s">
        <v>236</v>
      </c>
      <c r="K43" s="194" t="str">
        <f>IF(OR('UA''s &amp; PBV Standards'!D$22=0,'UA''s &amp; PBV Standards'!D$22=""),"",'UA''s &amp; PBV Standards'!D$22)</f>
        <v/>
      </c>
      <c r="L43" s="194" t="str">
        <f>IF(OR('UA''s &amp; PBV Standards'!E$22=0,'UA''s &amp; PBV Standards'!E$22=""),"",'UA''s &amp; PBV Standards'!E$22)</f>
        <v/>
      </c>
      <c r="M43" s="194" t="str">
        <f>IF(OR('UA''s &amp; PBV Standards'!F$22=0,'UA''s &amp; PBV Standards'!F$22=""),"",'UA''s &amp; PBV Standards'!F$22)</f>
        <v/>
      </c>
      <c r="N43" s="194" t="str">
        <f>IF(OR('UA''s &amp; PBV Standards'!G$22=0,'UA''s &amp; PBV Standards'!G$22=""),"",'UA''s &amp; PBV Standards'!G$22)</f>
        <v/>
      </c>
      <c r="O43" s="194" t="str">
        <f>IF(OR('UA''s &amp; PBV Standards'!H$22=0,'UA''s &amp; PBV Standards'!H$22=""),"",'UA''s &amp; PBV Standards'!H$22)</f>
        <v/>
      </c>
      <c r="Q43" s="368" t="str">
        <f>_xlfn.IFNA(IF(AND('Project Summary'!$C$19="Yes",$F43="Yes"),MAX(INDEX($K$8:$O$16,1,MATCH($B43,$K$7:$O$7,0)),INDEX($K$8:$O$16,MATCH($C43,$J$8:$J$16,0),MATCH($B43,$K$7:$O$7,0))),INDEX($K$8:$O$16,MATCH($C43,$J$8:$J$16,0),MATCH($B43,$K$7:$O$7,0))),"")</f>
        <v/>
      </c>
      <c r="R43" s="367" t="str">
        <f t="shared" si="1"/>
        <v/>
      </c>
      <c r="T43" s="367" t="str">
        <f>_xlfn.IFNA(IF(AND(OR('Project Summary'!$C$44="No",'Project Summary'!$C$44=""),OR('Project Summary'!$C$89="No",'Project Summary'!$C$89="")),"",IF(AND($F43="Yes",$C43&lt;=30%),MAX(INDEX($K$8:$O$16,1,MATCH($B43,$K$7:$O$7,0)),INDEX($K$8:$O$16,MATCH($C43,$J$8:$J$16,0),MATCH($B43,$K$7:$O$7,0))),INDEX($K$8:$O$16,MATCH($C43,$J$8:$J$16,0),MATCH($B43,$K$7:$O$7,0)))),"")</f>
        <v/>
      </c>
      <c r="U43" s="367" t="str">
        <f t="shared" si="2"/>
        <v/>
      </c>
    </row>
    <row r="44" spans="1:21" s="218" customFormat="1" ht="15" customHeight="1" x14ac:dyDescent="0.25">
      <c r="A44"/>
      <c r="B44" s="29"/>
      <c r="C44" s="979"/>
      <c r="D44" s="980"/>
      <c r="E44" s="30"/>
      <c r="F44" s="29"/>
      <c r="G44" s="3">
        <v>0</v>
      </c>
      <c r="H44" s="4">
        <f>E44*G44*12</f>
        <v>0</v>
      </c>
      <c r="J44" s="119">
        <v>0.3</v>
      </c>
      <c r="K44" s="194" t="str" cm="1">
        <f t="array" aca="1" ref="K44" ca="1">IF(OR('Project Summary'!$C$44="No",'Project Summary'!$C$44=""),"",_xlfn.IFNA(IF(OR('Project Summary'!$C$44="Yes",'Project Summary'!$C$44=""),CHOOSE(MATCH($M$27,INDIRECT("'"&amp;$M$40&amp;"'!$A$4:$A$56")),INDIRECT("'"&amp;$M$40&amp;"'!AM$4"),INDIRECT("'"&amp;$M$40&amp;"'!AM$5"),INDIRECT("'"&amp;$M$40&amp;"'!AM$6"),INDIRECT("'"&amp;$M$40&amp;"'!AM$7"),INDIRECT("'"&amp;$M$40&amp;"'!AM$8"),INDIRECT("'"&amp;$M$40&amp;"'!AM$9"),INDIRECT("'"&amp;$M$40&amp;"'!AM$10"),INDIRECT("'"&amp;$M$40&amp;"'!AM$11"),INDIRECT("'"&amp;$M$40&amp;"'!AM$12"),INDIRECT("'"&amp;$M$40&amp;"'!AM$13"),INDIRECT("'"&amp;$M$40&amp;"'!AM$14"),INDIRECT("'"&amp;$M$40&amp;"'!AM$15"),INDIRECT("'"&amp;$M$40&amp;"'!AM$16"),INDIRECT("'"&amp;$M$40&amp;"'!AM$17"),INDIRECT("'"&amp;$M$40&amp;"'!AM$18"),INDIRECT("'"&amp;$M$40&amp;"'!AM$19"),INDIRECT("'"&amp;$M$40&amp;"'!AM$20"),INDIRECT("'"&amp;$M$40&amp;"'!AM$21"),INDIRECT("'"&amp;$M$40&amp;"'!AM$22"),INDIRECT("'"&amp;$M$40&amp;"'!AM$23"),INDIRECT("'"&amp;$M$40&amp;"'!AM$24"),INDIRECT("'"&amp;$M$40&amp;"'!AM$25"),INDIRECT("'"&amp;$M$40&amp;"'!AM$26"),INDIRECT("'"&amp;$M$40&amp;"'!AM$27"),INDIRECT("'"&amp;$M$40&amp;"'!AM$28"),INDIRECT("'"&amp;$M$40&amp;"'!AM$29"),INDIRECT("'"&amp;$M$40&amp;"'!AM$30"),INDIRECT("'"&amp;$M$40&amp;"'!AM$31"),INDIRECT("'"&amp;$M$40&amp;"'!AM$32"),INDIRECT("'"&amp;$M$40&amp;"'!AM$33"),INDIRECT("'"&amp;$M$40&amp;"'!AM$34"),INDIRECT("'"&amp;$M$40&amp;"'!AM$35"),INDIRECT("'"&amp;$M$40&amp;"'!AM$36"),INDIRECT("'"&amp;$M$40&amp;"'!AM$37"),INDIRECT("'"&amp;$M$40&amp;"'!AM$38"),INDIRECT("'"&amp;$M$40&amp;"'!AM$39"),INDIRECT("'"&amp;$M$40&amp;"'!AM$40"),INDIRECT("'"&amp;$M$40&amp;"'!AM$41"),INDIRECT("'"&amp;$M$40&amp;"'!AM$42"),INDIRECT("'"&amp;$M$40&amp;"'!AM$43"),INDIRECT("'"&amp;$M$40&amp;"'!AM$44"),INDIRECT("'"&amp;$M$40&amp;"'!AM$45"),INDIRECT("'"&amp;$M$40&amp;"'!AM$46"),INDIRECT("'"&amp;$M$40&amp;"'!AM$47"),INDIRECT("'"&amp;$M$40&amp;"'!AM$48"),INDIRECT("'"&amp;$M$40&amp;"'!AM$49"),INDIRECT("'"&amp;$M$40&amp;"'!AM$50"),INDIRECT("'"&amp;$M$40&amp;"'!AM$51"),INDIRECT("'"&amp;$M$40&amp;"'!AM$52"),INDIRECT("'"&amp;$M$40&amp;"'!AM$53"),INDIRECT("'"&amp;$M$40&amp;"'!AM$54"),INDIRECT("'"&amp;$M$40&amp;"'!AM$55"),INDIRECT("'"&amp;$M$40&amp;"'!AM$56")),""),""))</f>
        <v/>
      </c>
      <c r="L44" s="194" t="str" cm="1">
        <f t="array" aca="1" ref="L44" ca="1">IF(OR('Project Summary'!$C$44="No",'Project Summary'!$C$44=""),"",_xlfn.IFNA(IF(OR('Project Summary'!$C$44="Yes",'Project Summary'!$C$44=""),CHOOSE(MATCH('Project Summary'!$C$13,INDIRECT("'"&amp;$M$40&amp;"'!$A$4:$A$56")),INDIRECT("'"&amp;$M$40&amp;"'!AN$4"),INDIRECT("'"&amp;$M$40&amp;"'!AN$5"),INDIRECT("'"&amp;$M$40&amp;"'!AN$6"),INDIRECT("'"&amp;$M$40&amp;"'!AN$7"),INDIRECT("'"&amp;$M$40&amp;"'!AN$8"),INDIRECT("'"&amp;$M$40&amp;"'!AN$9"),INDIRECT("'"&amp;$M$40&amp;"'!AN$10"),INDIRECT("'"&amp;$M$40&amp;"'!AN$11"),INDIRECT("'"&amp;$M$40&amp;"'!AN$12"),INDIRECT("'"&amp;$M$40&amp;"'!AN$13"),INDIRECT("'"&amp;$M$40&amp;"'!AN$14"),INDIRECT("'"&amp;$M$40&amp;"'!AN$15"),INDIRECT("'"&amp;$M$40&amp;"'!AN$16"),INDIRECT("'"&amp;$M$40&amp;"'!AN$17"),INDIRECT("'"&amp;$M$40&amp;"'!AN$18"),INDIRECT("'"&amp;$M$40&amp;"'!AN$19"),INDIRECT("'"&amp;$M$40&amp;"'!AN$20"),INDIRECT("'"&amp;$M$40&amp;"'!AN$21"),INDIRECT("'"&amp;$M$40&amp;"'!AN$22"),INDIRECT("'"&amp;$M$40&amp;"'!AN$23"),INDIRECT("'"&amp;$M$40&amp;"'!AN$24"),INDIRECT("'"&amp;$M$40&amp;"'!AN$25"),INDIRECT("'"&amp;$M$40&amp;"'!AN$26"),INDIRECT("'"&amp;$M$40&amp;"'!AN$27"),INDIRECT("'"&amp;$M$40&amp;"'!AN$28"),INDIRECT("'"&amp;$M$40&amp;"'!AN$29"),INDIRECT("'"&amp;$M$40&amp;"'!AN$30"),INDIRECT("'"&amp;$M$40&amp;"'!AN$31"),INDIRECT("'"&amp;$M$40&amp;"'!AN$32"),INDIRECT("'"&amp;$M$40&amp;"'!AN$33"),INDIRECT("'"&amp;$M$40&amp;"'!AN$34"),INDIRECT("'"&amp;$M$40&amp;"'!AN$35"),INDIRECT("'"&amp;$M$40&amp;"'!AN$36"),INDIRECT("'"&amp;$M$40&amp;"'!AN$37"),INDIRECT("'"&amp;$M$40&amp;"'!AN$38"),INDIRECT("'"&amp;$M$40&amp;"'!AN$39"),INDIRECT("'"&amp;$M$40&amp;"'!AN$40"),INDIRECT("'"&amp;$M$40&amp;"'!AN$41"),INDIRECT("'"&amp;$M$40&amp;"'!AN$42"),INDIRECT("'"&amp;$M$40&amp;"'!AN$43"),INDIRECT("'"&amp;$M$40&amp;"'!AN$44"),INDIRECT("'"&amp;$M$40&amp;"'!AN$45"),INDIRECT("'"&amp;$M$40&amp;"'!AN$46"),INDIRECT("'"&amp;$M$40&amp;"'!AN$47"),INDIRECT("'"&amp;$M$40&amp;"'!AN$48"),INDIRECT("'"&amp;$M$40&amp;"'!AN$49"),INDIRECT("'"&amp;$M$40&amp;"'!AN$50"),INDIRECT("'"&amp;$M$40&amp;"'!AN$51"),INDIRECT("'"&amp;$M$40&amp;"'!AN$52"),INDIRECT("'"&amp;$M$40&amp;"'!AN$53"),INDIRECT("'"&amp;$M$40&amp;"'!AN$54"),INDIRECT("'"&amp;$M$40&amp;"'!AN$55"),INDIRECT("'"&amp;$M$40&amp;"'!AN$56")),""),""))</f>
        <v/>
      </c>
      <c r="M44" s="194" t="str" cm="1">
        <f t="array" aca="1" ref="M44" ca="1">IF(OR('Project Summary'!$C$44="No",'Project Summary'!$C$44=""),"",_xlfn.IFNA(IF(OR('Project Summary'!$C$44="Yes",'Project Summary'!$C$44=""),CHOOSE(MATCH('Project Summary'!$C$13,INDIRECT("'"&amp;$M$40&amp;"'!$A$4:$A$56")),INDIRECT("'"&amp;$M$40&amp;"'!AO$4"),INDIRECT("'"&amp;$M$40&amp;"'!AO$5"),INDIRECT("'"&amp;$M$40&amp;"'!AO$6"),INDIRECT("'"&amp;$M$40&amp;"'!AO$7"),INDIRECT("'"&amp;$M$40&amp;"'!AO$8"),INDIRECT("'"&amp;$M$40&amp;"'!AO$9"),INDIRECT("'"&amp;$M$40&amp;"'!AO$10"),INDIRECT("'"&amp;$M$40&amp;"'!AO$11"),INDIRECT("'"&amp;$M$40&amp;"'!AO$12"),INDIRECT("'"&amp;$M$40&amp;"'!AO$13"),INDIRECT("'"&amp;$M$40&amp;"'!AO$14"),INDIRECT("'"&amp;$M$40&amp;"'!AO$15"),INDIRECT("'"&amp;$M$40&amp;"'!AO$16"),INDIRECT("'"&amp;$M$40&amp;"'!AO$17"),INDIRECT("'"&amp;$M$40&amp;"'!AO$18"),INDIRECT("'"&amp;$M$40&amp;"'!AO$19"),INDIRECT("'"&amp;$M$40&amp;"'!AO$20"),INDIRECT("'"&amp;$M$40&amp;"'!AO$21"),INDIRECT("'"&amp;$M$40&amp;"'!AO$22"),INDIRECT("'"&amp;$M$40&amp;"'!AO$23"),INDIRECT("'"&amp;$M$40&amp;"'!AO$24"),INDIRECT("'"&amp;$M$40&amp;"'!AO$25"),INDIRECT("'"&amp;$M$40&amp;"'!AO$26"),INDIRECT("'"&amp;$M$40&amp;"'!AO$27"),INDIRECT("'"&amp;$M$40&amp;"'!AO$28"),INDIRECT("'"&amp;$M$40&amp;"'!AO$29"),INDIRECT("'"&amp;$M$40&amp;"'!AO$30"),INDIRECT("'"&amp;$M$40&amp;"'!AO$31"),INDIRECT("'"&amp;$M$40&amp;"'!AO$32"),INDIRECT("'"&amp;$M$40&amp;"'!AO$33"),INDIRECT("'"&amp;$M$40&amp;"'!AO$34"),INDIRECT("'"&amp;$M$40&amp;"'!AO$35"),INDIRECT("'"&amp;$M$40&amp;"'!AO$36"),INDIRECT("'"&amp;$M$40&amp;"'!AO$37"),INDIRECT("'"&amp;$M$40&amp;"'!AO$38"),INDIRECT("'"&amp;$M$40&amp;"'!AO$39"),INDIRECT("'"&amp;$M$40&amp;"'!AO$40"),INDIRECT("'"&amp;$M$40&amp;"'!AO$41"),INDIRECT("'"&amp;$M$40&amp;"'!AO$42"),INDIRECT("'"&amp;$M$40&amp;"'!AO$43"),INDIRECT("'"&amp;$M$40&amp;"'!AO$44"),INDIRECT("'"&amp;$M$40&amp;"'!AO$45"),INDIRECT("'"&amp;$M$40&amp;"'!AO$46"),INDIRECT("'"&amp;$M$40&amp;"'!AO$47"),INDIRECT("'"&amp;$M$40&amp;"'!AO$48"),INDIRECT("'"&amp;$M$40&amp;"'!AO$49"),INDIRECT("'"&amp;$M$40&amp;"'!AO$50"),INDIRECT("'"&amp;$M$40&amp;"'!AO$51"),INDIRECT("'"&amp;$M$40&amp;"'!AO$52"),INDIRECT("'"&amp;$M$40&amp;"'!AO$53"),INDIRECT("'"&amp;$M$40&amp;"'!AO$54"),INDIRECT("'"&amp;$M$40&amp;"'!AO$55"),INDIRECT("'"&amp;$M$40&amp;"'!AO$56")),""),""))</f>
        <v/>
      </c>
      <c r="N44" s="194" t="str" cm="1">
        <f t="array" aca="1" ref="N44" ca="1">IF(OR('Project Summary'!$C$44="No",'Project Summary'!$C$44=""),"",_xlfn.IFNA(IF(OR('Project Summary'!$C$44="Yes",'Project Summary'!$C$44=""),CHOOSE(MATCH('Project Summary'!$C$13,INDIRECT("'"&amp;$M$40&amp;"'!$A$4:$A$56")),INDIRECT("'"&amp;$M$40&amp;"'!AP$4"),INDIRECT("'"&amp;$M$40&amp;"'!AP$5"),INDIRECT("'"&amp;$M$40&amp;"'!AP$6"),INDIRECT("'"&amp;$M$40&amp;"'!AP$7"),INDIRECT("'"&amp;$M$40&amp;"'!AP$8"),INDIRECT("'"&amp;$M$40&amp;"'!AP$9"),INDIRECT("'"&amp;$M$40&amp;"'!AP$10"),INDIRECT("'"&amp;$M$40&amp;"'!AP$11"),INDIRECT("'"&amp;$M$40&amp;"'!AP$12"),INDIRECT("'"&amp;$M$40&amp;"'!AP$13"),INDIRECT("'"&amp;$M$40&amp;"'!AP$14"),INDIRECT("'"&amp;$M$40&amp;"'!AP$15"),INDIRECT("'"&amp;$M$40&amp;"'!AP$16"),INDIRECT("'"&amp;$M$40&amp;"'!AP$17"),INDIRECT("'"&amp;$M$40&amp;"'!AP$18"),INDIRECT("'"&amp;$M$40&amp;"'!AP$19"),INDIRECT("'"&amp;$M$40&amp;"'!AP$20"),INDIRECT("'"&amp;$M$40&amp;"'!AP$21"),INDIRECT("'"&amp;$M$40&amp;"'!AP$22"),INDIRECT("'"&amp;$M$40&amp;"'!AP$23"),INDIRECT("'"&amp;$M$40&amp;"'!AP$24"),INDIRECT("'"&amp;$M$40&amp;"'!AP$25"),INDIRECT("'"&amp;$M$40&amp;"'!AP$26"),INDIRECT("'"&amp;$M$40&amp;"'!AP$27"),INDIRECT("'"&amp;$M$40&amp;"'!AP$28"),INDIRECT("'"&amp;$M$40&amp;"'!AP$29"),INDIRECT("'"&amp;$M$40&amp;"'!AP$30"),INDIRECT("'"&amp;$M$40&amp;"'!AP$31"),INDIRECT("'"&amp;$M$40&amp;"'!AP$32"),INDIRECT("'"&amp;$M$40&amp;"'!AP$33"),INDIRECT("'"&amp;$M$40&amp;"'!AP$34"),INDIRECT("'"&amp;$M$40&amp;"'!AP$35"),INDIRECT("'"&amp;$M$40&amp;"'!AP$36"),INDIRECT("'"&amp;$M$40&amp;"'!AP$37"),INDIRECT("'"&amp;$M$40&amp;"'!AP$38"),INDIRECT("'"&amp;$M$40&amp;"'!AP$39"),INDIRECT("'"&amp;$M$40&amp;"'!AP$40"),INDIRECT("'"&amp;$M$40&amp;"'!AP$41"),INDIRECT("'"&amp;$M$40&amp;"'!AP$42"),INDIRECT("'"&amp;$M$40&amp;"'!AP$43"),INDIRECT("'"&amp;$M$40&amp;"'!AP$44"),INDIRECT("'"&amp;$M$40&amp;"'!AP$45"),INDIRECT("'"&amp;$M$40&amp;"'!AP$46"),INDIRECT("'"&amp;$M$40&amp;"'!AP$47"),INDIRECT("'"&amp;$M$40&amp;"'!AP$48"),INDIRECT("'"&amp;$M$40&amp;"'!AP$49"),INDIRECT("'"&amp;$M$40&amp;"'!AP$50"),INDIRECT("'"&amp;$M$40&amp;"'!AP$51"),INDIRECT("'"&amp;$M$40&amp;"'!AP$52"),INDIRECT("'"&amp;$M$40&amp;"'!AP$53"),INDIRECT("'"&amp;$M$40&amp;"'!AP$54"),INDIRECT("'"&amp;$M$40&amp;"'!AP$55"),INDIRECT("'"&amp;$M$40&amp;"'!AP$56")),""),""))</f>
        <v/>
      </c>
      <c r="O44" s="194" t="str" cm="1">
        <f t="array" aca="1" ref="O44" ca="1">IF(OR('Project Summary'!$C$44="No",'Project Summary'!$C$44=""),"",_xlfn.IFNA(IF(OR('Project Summary'!$C$44="Yes",'Project Summary'!$C$44=""),CHOOSE(MATCH('Project Summary'!$C$13,INDIRECT("'"&amp;$M$40&amp;"'!$A$4:$A$56")),INDIRECT("'"&amp;$M$40&amp;"'!AQ$4"),INDIRECT("'"&amp;$M$40&amp;"'!AQ$5"),INDIRECT("'"&amp;$M$40&amp;"'!AQ$6"),INDIRECT("'"&amp;$M$40&amp;"'!AQ$7"),INDIRECT("'"&amp;$M$40&amp;"'!AQ$8"),INDIRECT("'"&amp;$M$40&amp;"'!AQ$9"),INDIRECT("'"&amp;$M$40&amp;"'!AQ$10"),INDIRECT("'"&amp;$M$40&amp;"'!AQ$11"),INDIRECT("'"&amp;$M$40&amp;"'!AQ$12"),INDIRECT("'"&amp;$M$40&amp;"'!AQ$13"),INDIRECT("'"&amp;$M$40&amp;"'!AQ$14"),INDIRECT("'"&amp;$M$40&amp;"'!AQ$15"),INDIRECT("'"&amp;$M$40&amp;"'!AQ$16"),INDIRECT("'"&amp;$M$40&amp;"'!AQ$17"),INDIRECT("'"&amp;$M$40&amp;"'!AQ$18"),INDIRECT("'"&amp;$M$40&amp;"'!AQ$19"),INDIRECT("'"&amp;$M$40&amp;"'!AQ$20"),INDIRECT("'"&amp;$M$40&amp;"'!AQ$21"),INDIRECT("'"&amp;$M$40&amp;"'!AQ$22"),INDIRECT("'"&amp;$M$40&amp;"'!AQ$23"),INDIRECT("'"&amp;$M$40&amp;"'!AQ$24"),INDIRECT("'"&amp;$M$40&amp;"'!AQ$25"),INDIRECT("'"&amp;$M$40&amp;"'!AQ$26"),INDIRECT("'"&amp;$M$40&amp;"'!AQ$27"),INDIRECT("'"&amp;$M$40&amp;"'!AQ$28"),INDIRECT("'"&amp;$M$40&amp;"'!AQ$29"),INDIRECT("'"&amp;$M$40&amp;"'!AQ$30"),INDIRECT("'"&amp;$M$40&amp;"'!AQ$31"),INDIRECT("'"&amp;$M$40&amp;"'!AQ$32"),INDIRECT("'"&amp;$M$40&amp;"'!AQ$33"),INDIRECT("'"&amp;$M$40&amp;"'!AQ$34"),INDIRECT("'"&amp;$M$40&amp;"'!AQ$35"),INDIRECT("'"&amp;$M$40&amp;"'!AQ$36"),INDIRECT("'"&amp;$M$40&amp;"'!AQ$37"),INDIRECT("'"&amp;$M$40&amp;"'!AQ$38"),INDIRECT("'"&amp;$M$40&amp;"'!AQ$39"),INDIRECT("'"&amp;$M$40&amp;"'!AQ$40"),INDIRECT("'"&amp;$M$40&amp;"'!AQ$41"),INDIRECT("'"&amp;$M$40&amp;"'!AQ$42"),INDIRECT("'"&amp;$M$40&amp;"'!AQ$43"),INDIRECT("'"&amp;$M$40&amp;"'!AQ$44"),INDIRECT("'"&amp;$M$40&amp;"'!AQ$45"),INDIRECT("'"&amp;$M$40&amp;"'!AQ$46"),INDIRECT("'"&amp;$M$40&amp;"'!AQ$47"),INDIRECT("'"&amp;$M$40&amp;"'!AQ$48"),INDIRECT("'"&amp;$M$40&amp;"'!AQ$49"),INDIRECT("'"&amp;$M$40&amp;"'!AQ$50"),INDIRECT("'"&amp;$M$40&amp;"'!AQ$51"),INDIRECT("'"&amp;$M$40&amp;"'!AQ$52"),INDIRECT("'"&amp;$M$40&amp;"'!AQ$53"),INDIRECT("'"&amp;$M$40&amp;"'!AQ$54"),INDIRECT("'"&amp;$M$40&amp;"'!AQ$55"),INDIRECT("'"&amp;$M$40&amp;"'!AQ$56")),""),""))</f>
        <v/>
      </c>
      <c r="P44"/>
      <c r="Q44" s="368" t="str">
        <f>_xlfn.IFNA(IF(AND('Project Summary'!$C$19="Yes",$F44="Yes"),MAX(INDEX($K$8:$O$16,1,MATCH($B44,$K$7:$O$7,0)),INDEX($K$8:$O$16,MATCH($C44,$J$8:$J$16,0),MATCH($B44,$K$7:$O$7,0))),INDEX($K$8:$O$16,MATCH($C44,$J$8:$J$16,0),MATCH($B44,$K$7:$O$7,0))),"")</f>
        <v/>
      </c>
      <c r="R44" s="367" t="str">
        <f t="shared" si="1"/>
        <v/>
      </c>
      <c r="S44" s="369"/>
      <c r="T44" s="367" t="str">
        <f>_xlfn.IFNA(IF(AND(OR('Project Summary'!$C$44="No",'Project Summary'!$C$44=""),OR('Project Summary'!$C$89="No",'Project Summary'!$C$89="")),"",IF(AND($F44="Yes",$C44&lt;=30%),MAX(INDEX($K$8:$O$16,1,MATCH($B44,$K$7:$O$7,0)),INDEX($K$8:$O$16,MATCH($C44,$J$8:$J$16,0),MATCH($B44,$K$7:$O$7,0))),INDEX($K$8:$O$16,MATCH($C44,$J$8:$J$16,0),MATCH($B44,$K$7:$O$7,0)))),"")</f>
        <v/>
      </c>
      <c r="U44" s="367" t="str">
        <f t="shared" si="2"/>
        <v/>
      </c>
    </row>
    <row r="45" spans="1:21" ht="15" customHeight="1" x14ac:dyDescent="0.25">
      <c r="B45" s="29"/>
      <c r="C45" s="979"/>
      <c r="D45" s="980"/>
      <c r="E45" s="30"/>
      <c r="F45" s="29"/>
      <c r="G45" s="3">
        <v>0</v>
      </c>
      <c r="H45" s="4">
        <f>E45*G45*12</f>
        <v>0</v>
      </c>
      <c r="Q45" s="368" t="str">
        <f>_xlfn.IFNA(IF(AND('Project Summary'!$C$19="Yes",$F45="Yes"),MAX(INDEX($K$8:$O$16,1,MATCH($B45,$K$7:$O$7,0)),INDEX($K$8:$O$16,MATCH($C45,$J$8:$J$16,0),MATCH($B45,$K$7:$O$7,0))),INDEX($K$8:$O$16,MATCH($C45,$J$8:$J$16,0),MATCH($B45,$K$7:$O$7,0))),"")</f>
        <v/>
      </c>
      <c r="R45" s="367" t="str">
        <f t="shared" si="1"/>
        <v/>
      </c>
      <c r="T45" s="367" t="str">
        <f>_xlfn.IFNA(IF(AND(OR('Project Summary'!$C$44="No",'Project Summary'!$C$44=""),OR('Project Summary'!$C$89="No",'Project Summary'!$C$89="")),"",IF(AND($F45="Yes",$C45&lt;=30%),MAX(INDEX($K$8:$O$16,1,MATCH($B45,$K$7:$O$7,0)),INDEX($K$8:$O$16,MATCH($C45,$J$8:$J$16,0),MATCH($B45,$K$7:$O$7,0))),INDEX($K$8:$O$16,MATCH($C45,$J$8:$J$16,0),MATCH($B45,$K$7:$O$7,0)))),"")</f>
        <v/>
      </c>
      <c r="U45" s="367" t="str">
        <f t="shared" si="2"/>
        <v/>
      </c>
    </row>
    <row r="46" spans="1:21" ht="15" customHeight="1" x14ac:dyDescent="0.3">
      <c r="B46" s="29"/>
      <c r="C46" s="979"/>
      <c r="D46" s="980"/>
      <c r="E46" s="30"/>
      <c r="F46" s="29"/>
      <c r="G46" s="3">
        <v>0</v>
      </c>
      <c r="H46" s="4">
        <f>E46*G46*12</f>
        <v>0</v>
      </c>
      <c r="J46" s="977" t="s">
        <v>1111</v>
      </c>
      <c r="K46" s="977"/>
      <c r="L46" s="977"/>
      <c r="M46" s="976" t="s">
        <v>1121</v>
      </c>
      <c r="N46" s="976"/>
      <c r="Q46" s="368" t="str">
        <f>_xlfn.IFNA(IF(AND('Project Summary'!$C$19="Yes",$F46="Yes"),MAX(INDEX($K$8:$O$16,1,MATCH($B46,$K$7:$O$7,0)),INDEX($K$8:$O$16,MATCH($C46,$J$8:$J$16,0),MATCH($B46,$K$7:$O$7,0))),INDEX($K$8:$O$16,MATCH($C46,$J$8:$J$16,0),MATCH($B46,$K$7:$O$7,0))),"")</f>
        <v/>
      </c>
      <c r="R46" s="367" t="str">
        <f t="shared" si="1"/>
        <v/>
      </c>
      <c r="T46" s="367" t="str">
        <f>_xlfn.IFNA(IF(AND(OR('Project Summary'!$C$44="No",'Project Summary'!$C$44=""),OR('Project Summary'!$C$89="No",'Project Summary'!$C$89="")),"",IF(AND($F46="Yes",$C46&lt;=30%),MAX(INDEX($K$8:$O$16,1,MATCH($B46,$K$7:$O$7,0)),INDEX($K$8:$O$16,MATCH($C46,$J$8:$J$16,0),MATCH($B46,$K$7:$O$7,0))),INDEX($K$8:$O$16,MATCH($C46,$J$8:$J$16,0),MATCH($B46,$K$7:$O$7,0)))),"")</f>
        <v/>
      </c>
      <c r="U46" s="367" t="str">
        <f t="shared" si="2"/>
        <v/>
      </c>
    </row>
    <row r="47" spans="1:21" ht="15" customHeight="1" x14ac:dyDescent="0.25">
      <c r="B47" s="29"/>
      <c r="C47" s="979"/>
      <c r="D47" s="980"/>
      <c r="E47" s="30"/>
      <c r="F47" s="29"/>
      <c r="G47" s="3">
        <v>0</v>
      </c>
      <c r="H47" s="4">
        <f>E47*G47*12</f>
        <v>0</v>
      </c>
      <c r="K47" s="973" t="s">
        <v>728</v>
      </c>
      <c r="L47" s="974"/>
      <c r="M47" s="974"/>
      <c r="N47" s="974"/>
      <c r="O47" s="975"/>
      <c r="Q47" s="368" t="str">
        <f>_xlfn.IFNA(IF(AND('Project Summary'!$C$19="Yes",$F47="Yes"),MAX(INDEX($K$8:$O$16,1,MATCH($B47,$K$7:$O$7,0)),INDEX($K$8:$O$16,MATCH($C47,$J$8:$J$16,0),MATCH($B47,$K$7:$O$7,0))),INDEX($K$8:$O$16,MATCH($C47,$J$8:$J$16,0),MATCH($B47,$K$7:$O$7,0))),"")</f>
        <v/>
      </c>
      <c r="R47" s="367" t="str">
        <f t="shared" si="1"/>
        <v/>
      </c>
      <c r="T47" s="367" t="str">
        <f>_xlfn.IFNA(IF(AND(OR('Project Summary'!$C$44="No",'Project Summary'!$C$44=""),OR('Project Summary'!$C$89="No",'Project Summary'!$C$89="")),"",IF(AND($F47="Yes",$C47&lt;=30%),MAX(INDEX($K$8:$O$16,1,MATCH($B47,$K$7:$O$7,0)),INDEX($K$8:$O$16,MATCH($C47,$J$8:$J$16,0),MATCH($B47,$K$7:$O$7,0))),INDEX($K$8:$O$16,MATCH($C47,$J$8:$J$16,0),MATCH($B47,$K$7:$O$7,0)))),"")</f>
        <v/>
      </c>
      <c r="U47" s="367" t="str">
        <f t="shared" si="2"/>
        <v/>
      </c>
    </row>
    <row r="48" spans="1:21" ht="15.75" thickBot="1" x14ac:dyDescent="0.3">
      <c r="A48" s="182"/>
      <c r="B48" s="219"/>
      <c r="C48" s="956" t="s">
        <v>171</v>
      </c>
      <c r="D48" s="881"/>
      <c r="E48" s="220">
        <f ca="1">SUM($E$7:$E$47)-SUMIF($C$7:$E$47,"Staff",$E$7:$E$47)</f>
        <v>0</v>
      </c>
      <c r="F48" s="220">
        <f>SUMIF($F$7:$F$47,"Yes",$E$7:$E$47)</f>
        <v>0</v>
      </c>
      <c r="G48" s="221"/>
      <c r="H48" s="64">
        <f>SUM(H7:H47)</f>
        <v>0</v>
      </c>
      <c r="J48" s="215"/>
      <c r="K48" s="216" t="str">
        <f>K$30</f>
        <v>Efficiency</v>
      </c>
      <c r="L48" s="216">
        <f>L$30</f>
        <v>1</v>
      </c>
      <c r="M48" s="216">
        <f>M$30</f>
        <v>2</v>
      </c>
      <c r="N48" s="216">
        <f>N$30</f>
        <v>3</v>
      </c>
      <c r="O48" s="216">
        <f>O$30</f>
        <v>4</v>
      </c>
    </row>
    <row r="49" spans="1:17" ht="15.75" thickBot="1" x14ac:dyDescent="0.3">
      <c r="A49" s="183"/>
      <c r="B49" s="222"/>
      <c r="C49" s="184"/>
      <c r="D49" s="184"/>
      <c r="E49" s="184"/>
      <c r="F49" s="184"/>
      <c r="G49" s="223" t="s">
        <v>687</v>
      </c>
      <c r="H49" s="65">
        <f>H48/12</f>
        <v>0</v>
      </c>
      <c r="J49" s="119" t="s">
        <v>236</v>
      </c>
      <c r="K49" s="194" t="str">
        <f>IF(OR('UA''s &amp; PBV Standards'!D$22=0,'UA''s &amp; PBV Standards'!D$22=""),"",'UA''s &amp; PBV Standards'!D$22)</f>
        <v/>
      </c>
      <c r="L49" s="194" t="str">
        <f>IF(OR('UA''s &amp; PBV Standards'!E$22=0,'UA''s &amp; PBV Standards'!E$22=""),"",'UA''s &amp; PBV Standards'!E$22)</f>
        <v/>
      </c>
      <c r="M49" s="194" t="str">
        <f>IF(OR('UA''s &amp; PBV Standards'!F$22=0,'UA''s &amp; PBV Standards'!F$22=""),"",'UA''s &amp; PBV Standards'!F$22)</f>
        <v/>
      </c>
      <c r="N49" s="194" t="str">
        <f>IF(OR('UA''s &amp; PBV Standards'!G$22=0,'UA''s &amp; PBV Standards'!G$22=""),"",'UA''s &amp; PBV Standards'!G$22)</f>
        <v/>
      </c>
      <c r="O49" s="194" t="str">
        <f>IF(OR('UA''s &amp; PBV Standards'!H$22=0,'UA''s &amp; PBV Standards'!H$22=""),"",'UA''s &amp; PBV Standards'!H$22)</f>
        <v/>
      </c>
    </row>
    <row r="50" spans="1:17" x14ac:dyDescent="0.25">
      <c r="A50" s="988" t="s">
        <v>172</v>
      </c>
      <c r="B50" s="989"/>
      <c r="C50" s="989"/>
      <c r="D50" s="989"/>
      <c r="E50" s="989"/>
      <c r="F50" s="990"/>
      <c r="G50" s="224" t="s">
        <v>173</v>
      </c>
      <c r="H50" s="225" t="s">
        <v>174</v>
      </c>
      <c r="J50" s="119" t="s">
        <v>725</v>
      </c>
      <c r="K50" s="194" t="str" cm="1">
        <f t="array" aca="1" ref="K50" ca="1">IF(OR('Project Summary'!$C$66="No",'Project Summary'!$C$66=""),"",_xlfn.IFNA(IF(OR('Project Summary'!$C$66="Yes",'Project Summary'!$C$66=""),CHOOSE(MATCH($M$27,INDIRECT("'"&amp;$M$46&amp;"'!$A$4:$A$56")),INDIRECT("'"&amp;$M$46&amp;"'!BP$4"),INDIRECT("'"&amp;$M$46&amp;"'!BP$5"),INDIRECT("'"&amp;$M$46&amp;"'!BP$6"),INDIRECT("'"&amp;$M$46&amp;"'!BP$7"),INDIRECT("'"&amp;$M$46&amp;"'!BP$8"),INDIRECT("'"&amp;$M$46&amp;"'!BP$9"),INDIRECT("'"&amp;$M$46&amp;"'!BP$10"),INDIRECT("'"&amp;$M$46&amp;"'!BP$11"),INDIRECT("'"&amp;$M$46&amp;"'!BP$12"),INDIRECT("'"&amp;$M$46&amp;"'!BP$13"),INDIRECT("'"&amp;$M$46&amp;"'!BP$14"),INDIRECT("'"&amp;$M$46&amp;"'!BP$15"),INDIRECT("'"&amp;$M$46&amp;"'!BP$16"),INDIRECT("'"&amp;$M$46&amp;"'!BP$17"),INDIRECT("'"&amp;$M$46&amp;"'!BP$18"),INDIRECT("'"&amp;$M$46&amp;"'!BP$19"),INDIRECT("'"&amp;$M$46&amp;"'!BP$20"),INDIRECT("'"&amp;$M$46&amp;"'!BP$21"),INDIRECT("'"&amp;$M$46&amp;"'!BP$22"),INDIRECT("'"&amp;$M$46&amp;"'!BP$23"),INDIRECT("'"&amp;$M$46&amp;"'!BP$24"),INDIRECT("'"&amp;$M$46&amp;"'!BP$25"),INDIRECT("'"&amp;$M$46&amp;"'!BP$26"),INDIRECT("'"&amp;$M$46&amp;"'!BP$27"),INDIRECT("'"&amp;$M$46&amp;"'!BP$28"),INDIRECT("'"&amp;$M$46&amp;"'!BP$29"),INDIRECT("'"&amp;$M$46&amp;"'!BP$30"),INDIRECT("'"&amp;$M$46&amp;"'!BP$31"),INDIRECT("'"&amp;$M$46&amp;"'!BP$32"),INDIRECT("'"&amp;$M$46&amp;"'!BP$33"),INDIRECT("'"&amp;$M$46&amp;"'!BP$34"),INDIRECT("'"&amp;$M$46&amp;"'!BP$35"),INDIRECT("'"&amp;$M$46&amp;"'!BP$36"),INDIRECT("'"&amp;$M$46&amp;"'!BP$37"),INDIRECT("'"&amp;$M$46&amp;"'!BP$38"),INDIRECT("'"&amp;$M$46&amp;"'!BP$39"),INDIRECT("'"&amp;$M$46&amp;"'!BP$40"),INDIRECT("'"&amp;$M$46&amp;"'!BP$41"),INDIRECT("'"&amp;$M$46&amp;"'!BP$42"),INDIRECT("'"&amp;$M$46&amp;"'!BP$43"),INDIRECT("'"&amp;$M$46&amp;"'!BP$44"),INDIRECT("'"&amp;$M$46&amp;"'!BP$45"),INDIRECT("'"&amp;$M$46&amp;"'!BP$46"),INDIRECT("'"&amp;$M$46&amp;"'!BP$47"),INDIRECT("'"&amp;$M$46&amp;"'!BP$48"),INDIRECT("'"&amp;$M$46&amp;"'!BP$49"),INDIRECT("'"&amp;$M$46&amp;"'!BP$50"),INDIRECT("'"&amp;$M$46&amp;"'!BP$51"),INDIRECT("'"&amp;$M$46&amp;"'!BP$52"),INDIRECT("'"&amp;$M$46&amp;"'!BP$53"),INDIRECT("'"&amp;$M$46&amp;"'!BP$54"),INDIRECT("'"&amp;$M$46&amp;"'!BP$55"),INDIRECT("'"&amp;$M$46&amp;"'!BP$56")),""),""))</f>
        <v/>
      </c>
      <c r="L50" s="194" t="str" cm="1">
        <f t="array" aca="1" ref="L50" ca="1">IF(OR('Project Summary'!$C$66="No",'Project Summary'!$C$66=""),"",_xlfn.IFNA(IF(OR('Project Summary'!$C$66="Yes",'Project Summary'!$C$66=""),CHOOSE(MATCH('Project Summary'!$C$13,INDIRECT("'"&amp;$M$46&amp;"'!$A$4:$A$56")),INDIRECT("'"&amp;$M$46&amp;"'!BQ$4"),INDIRECT("'"&amp;$M$46&amp;"'!BQ$5"),INDIRECT("'"&amp;$M$46&amp;"'!BQ$6"),INDIRECT("'"&amp;$M$46&amp;"'!BQ$7"),INDIRECT("'"&amp;$M$46&amp;"'!BQ$8"),INDIRECT("'"&amp;$M$46&amp;"'!BQ$9"),INDIRECT("'"&amp;$M$46&amp;"'!BQ$10"),INDIRECT("'"&amp;$M$46&amp;"'!BQ$11"),INDIRECT("'"&amp;$M$46&amp;"'!BQ$12"),INDIRECT("'"&amp;$M$46&amp;"'!BQ$13"),INDIRECT("'"&amp;$M$46&amp;"'!BQ$14"),INDIRECT("'"&amp;$M$46&amp;"'!BQ$15"),INDIRECT("'"&amp;$M$46&amp;"'!BQ$16"),INDIRECT("'"&amp;$M$46&amp;"'!BQ$17"),INDIRECT("'"&amp;$M$46&amp;"'!BQ$18"),INDIRECT("'"&amp;$M$46&amp;"'!BQ$19"),INDIRECT("'"&amp;$M$46&amp;"'!BQ$20"),INDIRECT("'"&amp;$M$46&amp;"'!BQ$21"),INDIRECT("'"&amp;$M$46&amp;"'!BQ$22"),INDIRECT("'"&amp;$M$46&amp;"'!BQ$23"),INDIRECT("'"&amp;$M$46&amp;"'!BQ$24"),INDIRECT("'"&amp;$M$46&amp;"'!BQ$25"),INDIRECT("'"&amp;$M$46&amp;"'!BQ$26"),INDIRECT("'"&amp;$M$46&amp;"'!BQ$27"),INDIRECT("'"&amp;$M$46&amp;"'!BQ$28"),INDIRECT("'"&amp;$M$46&amp;"'!BQ$29"),INDIRECT("'"&amp;$M$46&amp;"'!BQ$30"),INDIRECT("'"&amp;$M$46&amp;"'!BQ$31"),INDIRECT("'"&amp;$M$46&amp;"'!BQ$32"),INDIRECT("'"&amp;$M$46&amp;"'!BQ$33"),INDIRECT("'"&amp;$M$46&amp;"'!BQ$34"),INDIRECT("'"&amp;$M$46&amp;"'!BQ$35"),INDIRECT("'"&amp;$M$46&amp;"'!BQ$36"),INDIRECT("'"&amp;$M$46&amp;"'!BQ$37"),INDIRECT("'"&amp;$M$46&amp;"'!BQ$38"),INDIRECT("'"&amp;$M$46&amp;"'!BQ$39"),INDIRECT("'"&amp;$M$46&amp;"'!BQ$40"),INDIRECT("'"&amp;$M$46&amp;"'!BQ$41"),INDIRECT("'"&amp;$M$46&amp;"'!BQ$42"),INDIRECT("'"&amp;$M$46&amp;"'!BQ$43"),INDIRECT("'"&amp;$M$46&amp;"'!BQ$44"),INDIRECT("'"&amp;$M$46&amp;"'!BQ$45"),INDIRECT("'"&amp;$M$46&amp;"'!BQ$46"),INDIRECT("'"&amp;$M$46&amp;"'!BQ$47"),INDIRECT("'"&amp;$M$46&amp;"'!BQ$48"),INDIRECT("'"&amp;$M$46&amp;"'!BQ$49"),INDIRECT("'"&amp;$M$46&amp;"'!BQ$50"),INDIRECT("'"&amp;$M$46&amp;"'!BQ$51"),INDIRECT("'"&amp;$M$46&amp;"'!BQ$52"),INDIRECT("'"&amp;$M$46&amp;"'!BQ$53"),INDIRECT("'"&amp;$M$46&amp;"'!BQ$54"),INDIRECT("'"&amp;$M$46&amp;"'!BQ$55"),INDIRECT("'"&amp;$M$46&amp;"'!BQ$56")),""),""))</f>
        <v/>
      </c>
      <c r="M50" s="194" t="str" cm="1">
        <f t="array" aca="1" ref="M50" ca="1">IF(OR('Project Summary'!$C$66="No",'Project Summary'!$C$66=""),"",_xlfn.IFNA(IF(OR('Project Summary'!$C$66="Yes",'Project Summary'!$C$66=""),CHOOSE(MATCH('Project Summary'!$C$13,INDIRECT("'"&amp;$M$46&amp;"'!$A$4:$A$56")),INDIRECT("'"&amp;$M$46&amp;"'!BR$4"),INDIRECT("'"&amp;$M$46&amp;"'!BR$5"),INDIRECT("'"&amp;$M$46&amp;"'!BR$6"),INDIRECT("'"&amp;$M$46&amp;"'!BR$7"),INDIRECT("'"&amp;$M$46&amp;"'!BR$8"),INDIRECT("'"&amp;$M$46&amp;"'!BR$9"),INDIRECT("'"&amp;$M$46&amp;"'!BR$10"),INDIRECT("'"&amp;$M$46&amp;"'!BR$11"),INDIRECT("'"&amp;$M$46&amp;"'!BR$12"),INDIRECT("'"&amp;$M$46&amp;"'!BR$13"),INDIRECT("'"&amp;$M$46&amp;"'!BR$14"),INDIRECT("'"&amp;$M$46&amp;"'!BR$15"),INDIRECT("'"&amp;$M$46&amp;"'!BR$16"),INDIRECT("'"&amp;$M$46&amp;"'!BR$17"),INDIRECT("'"&amp;$M$46&amp;"'!BR$18"),INDIRECT("'"&amp;$M$46&amp;"'!BR$19"),INDIRECT("'"&amp;$M$46&amp;"'!BR$20"),INDIRECT("'"&amp;$M$46&amp;"'!BR$21"),INDIRECT("'"&amp;$M$46&amp;"'!BR$22"),INDIRECT("'"&amp;$M$46&amp;"'!BR$23"),INDIRECT("'"&amp;$M$46&amp;"'!BR$24"),INDIRECT("'"&amp;$M$46&amp;"'!BR$25"),INDIRECT("'"&amp;$M$46&amp;"'!BR$26"),INDIRECT("'"&amp;$M$46&amp;"'!BR$27"),INDIRECT("'"&amp;$M$46&amp;"'!BR$28"),INDIRECT("'"&amp;$M$46&amp;"'!BR$29"),INDIRECT("'"&amp;$M$46&amp;"'!BR$30"),INDIRECT("'"&amp;$M$46&amp;"'!BR$31"),INDIRECT("'"&amp;$M$46&amp;"'!BR$32"),INDIRECT("'"&amp;$M$46&amp;"'!BR$33"),INDIRECT("'"&amp;$M$46&amp;"'!BR$34"),INDIRECT("'"&amp;$M$46&amp;"'!BR$35"),INDIRECT("'"&amp;$M$46&amp;"'!BR$36"),INDIRECT("'"&amp;$M$46&amp;"'!BR$37"),INDIRECT("'"&amp;$M$46&amp;"'!BR$38"),INDIRECT("'"&amp;$M$46&amp;"'!BR$39"),INDIRECT("'"&amp;$M$46&amp;"'!BR$40"),INDIRECT("'"&amp;$M$46&amp;"'!BR$41"),INDIRECT("'"&amp;$M$46&amp;"'!BR$42"),INDIRECT("'"&amp;$M$46&amp;"'!BR$43"),INDIRECT("'"&amp;$M$46&amp;"'!BR$44"),INDIRECT("'"&amp;$M$46&amp;"'!BR$45"),INDIRECT("'"&amp;$M$46&amp;"'!BR$46"),INDIRECT("'"&amp;$M$46&amp;"'!BR$47"),INDIRECT("'"&amp;$M$46&amp;"'!BR$48"),INDIRECT("'"&amp;$M$46&amp;"'!BR$49"),INDIRECT("'"&amp;$M$46&amp;"'!BR$50"),INDIRECT("'"&amp;$M$46&amp;"'!BR$51"),INDIRECT("'"&amp;$M$46&amp;"'!BR$52"),INDIRECT("'"&amp;$M$46&amp;"'!BR$53"),INDIRECT("'"&amp;$M$46&amp;"'!BR$54"),INDIRECT("'"&amp;$M$46&amp;"'!BR$55"),INDIRECT("'"&amp;$M$46&amp;"'!BR$56")),""),""))</f>
        <v/>
      </c>
      <c r="N50" s="194" t="str" cm="1">
        <f t="array" aca="1" ref="N50" ca="1">IF(OR('Project Summary'!$C$66="No",'Project Summary'!$C$66=""),"",_xlfn.IFNA(IF(OR('Project Summary'!$C$66="Yes",'Project Summary'!$C$66=""),CHOOSE(MATCH('Project Summary'!$C$13,INDIRECT("'"&amp;$M$46&amp;"'!$A$4:$A$56")),INDIRECT("'"&amp;$M$46&amp;"'!BS$4"),INDIRECT("'"&amp;$M$46&amp;"'!BS$5"),INDIRECT("'"&amp;$M$46&amp;"'!BS$6"),INDIRECT("'"&amp;$M$46&amp;"'!BS$7"),INDIRECT("'"&amp;$M$46&amp;"'!BS$8"),INDIRECT("'"&amp;$M$46&amp;"'!BS$9"),INDIRECT("'"&amp;$M$46&amp;"'!BS$10"),INDIRECT("'"&amp;$M$46&amp;"'!BS$11"),INDIRECT("'"&amp;$M$46&amp;"'!BS$12"),INDIRECT("'"&amp;$M$46&amp;"'!BS$13"),INDIRECT("'"&amp;$M$46&amp;"'!BS$14"),INDIRECT("'"&amp;$M$46&amp;"'!BS$15"),INDIRECT("'"&amp;$M$46&amp;"'!BS$16"),INDIRECT("'"&amp;$M$46&amp;"'!BS$17"),INDIRECT("'"&amp;$M$46&amp;"'!BS$18"),INDIRECT("'"&amp;$M$46&amp;"'!BS$19"),INDIRECT("'"&amp;$M$46&amp;"'!BS$20"),INDIRECT("'"&amp;$M$46&amp;"'!BS$21"),INDIRECT("'"&amp;$M$46&amp;"'!BS$22"),INDIRECT("'"&amp;$M$46&amp;"'!BS$23"),INDIRECT("'"&amp;$M$46&amp;"'!BS$24"),INDIRECT("'"&amp;$M$46&amp;"'!BS$25"),INDIRECT("'"&amp;$M$46&amp;"'!BS$26"),INDIRECT("'"&amp;$M$46&amp;"'!BS$27"),INDIRECT("'"&amp;$M$46&amp;"'!BS$28"),INDIRECT("'"&amp;$M$46&amp;"'!BS$29"),INDIRECT("'"&amp;$M$46&amp;"'!BS$30"),INDIRECT("'"&amp;$M$46&amp;"'!BS$31"),INDIRECT("'"&amp;$M$46&amp;"'!BS$32"),INDIRECT("'"&amp;$M$46&amp;"'!BS$33"),INDIRECT("'"&amp;$M$46&amp;"'!BS$34"),INDIRECT("'"&amp;$M$46&amp;"'!BS$35"),INDIRECT("'"&amp;$M$46&amp;"'!BS$36"),INDIRECT("'"&amp;$M$46&amp;"'!BS$37"),INDIRECT("'"&amp;$M$46&amp;"'!BS$38"),INDIRECT("'"&amp;$M$46&amp;"'!BS$39"),INDIRECT("'"&amp;$M$46&amp;"'!BS$40"),INDIRECT("'"&amp;$M$46&amp;"'!BS$41"),INDIRECT("'"&amp;$M$46&amp;"'!BS$42"),INDIRECT("'"&amp;$M$46&amp;"'!BS$43"),INDIRECT("'"&amp;$M$46&amp;"'!BS$44"),INDIRECT("'"&amp;$M$46&amp;"'!BS$45"),INDIRECT("'"&amp;$M$46&amp;"'!BS$46"),INDIRECT("'"&amp;$M$46&amp;"'!BS$47"),INDIRECT("'"&amp;$M$46&amp;"'!BS$48"),INDIRECT("'"&amp;$M$46&amp;"'!BS$49"),INDIRECT("'"&amp;$M$46&amp;"'!BS$50"),INDIRECT("'"&amp;$M$46&amp;"'!BS$51"),INDIRECT("'"&amp;$M$46&amp;"'!BS$52"),INDIRECT("'"&amp;$M$46&amp;"'!BS$53"),INDIRECT("'"&amp;$M$46&amp;"'!BS$54"),INDIRECT("'"&amp;$M$46&amp;"'!BS$55"),INDIRECT("'"&amp;$M$46&amp;"'!BS$56")),""),""))</f>
        <v/>
      </c>
      <c r="O50" s="194" t="str" cm="1">
        <f t="array" aca="1" ref="O50" ca="1">IF(OR('Project Summary'!$C$66="No",'Project Summary'!$C$66=""),"",_xlfn.IFNA(IF(OR('Project Summary'!$C$66="Yes",'Project Summary'!$C$66=""),CHOOSE(MATCH('Project Summary'!$C$13,INDIRECT("'"&amp;$M$46&amp;"'!$A$4:$A$56")),INDIRECT("'"&amp;$M$46&amp;"'!BT$4"),INDIRECT("'"&amp;$M$46&amp;"'!BT$5"),INDIRECT("'"&amp;$M$46&amp;"'!BT$6"),INDIRECT("'"&amp;$M$46&amp;"'!BT$7"),INDIRECT("'"&amp;$M$46&amp;"'!BT$8"),INDIRECT("'"&amp;$M$46&amp;"'!BT$9"),INDIRECT("'"&amp;$M$46&amp;"'!BT$10"),INDIRECT("'"&amp;$M$46&amp;"'!BT$11"),INDIRECT("'"&amp;$M$46&amp;"'!BT$12"),INDIRECT("'"&amp;$M$46&amp;"'!BT$13"),INDIRECT("'"&amp;$M$46&amp;"'!BT$14"),INDIRECT("'"&amp;$M$46&amp;"'!BT$15"),INDIRECT("'"&amp;$M$46&amp;"'!BT$16"),INDIRECT("'"&amp;$M$46&amp;"'!BT$17"),INDIRECT("'"&amp;$M$46&amp;"'!BT$18"),INDIRECT("'"&amp;$M$46&amp;"'!BT$19"),INDIRECT("'"&amp;$M$46&amp;"'!BT$20"),INDIRECT("'"&amp;$M$46&amp;"'!BT$21"),INDIRECT("'"&amp;$M$46&amp;"'!BT$22"),INDIRECT("'"&amp;$M$46&amp;"'!BT$23"),INDIRECT("'"&amp;$M$46&amp;"'!BT$24"),INDIRECT("'"&amp;$M$46&amp;"'!BT$25"),INDIRECT("'"&amp;$M$46&amp;"'!BT$26"),INDIRECT("'"&amp;$M$46&amp;"'!BT$27"),INDIRECT("'"&amp;$M$46&amp;"'!BT$28"),INDIRECT("'"&amp;$M$46&amp;"'!BT$29"),INDIRECT("'"&amp;$M$46&amp;"'!BT$30"),INDIRECT("'"&amp;$M$46&amp;"'!BT$31"),INDIRECT("'"&amp;$M$46&amp;"'!BT$32"),INDIRECT("'"&amp;$M$46&amp;"'!BT$33"),INDIRECT("'"&amp;$M$46&amp;"'!BT$34"),INDIRECT("'"&amp;$M$46&amp;"'!BT$35"),INDIRECT("'"&amp;$M$46&amp;"'!BT$36"),INDIRECT("'"&amp;$M$46&amp;"'!BT$37"),INDIRECT("'"&amp;$M$46&amp;"'!BT$38"),INDIRECT("'"&amp;$M$46&amp;"'!BT$39"),INDIRECT("'"&amp;$M$46&amp;"'!BT$40"),INDIRECT("'"&amp;$M$46&amp;"'!BT$41"),INDIRECT("'"&amp;$M$46&amp;"'!BT$42"),INDIRECT("'"&amp;$M$46&amp;"'!BT$43"),INDIRECT("'"&amp;$M$46&amp;"'!BT$44"),INDIRECT("'"&amp;$M$46&amp;"'!BT$45"),INDIRECT("'"&amp;$M$46&amp;"'!BT$46"),INDIRECT("'"&amp;$M$46&amp;"'!BT$47"),INDIRECT("'"&amp;$M$46&amp;"'!BT$48"),INDIRECT("'"&amp;$M$46&amp;"'!BT$49"),INDIRECT("'"&amp;$M$46&amp;"'!BT$50"),INDIRECT("'"&amp;$M$46&amp;"'!BT$51"),INDIRECT("'"&amp;$M$46&amp;"'!BT$52"),INDIRECT("'"&amp;$M$46&amp;"'!BT$53"),INDIRECT("'"&amp;$M$46&amp;"'!BT$54"),INDIRECT("'"&amp;$M$46&amp;"'!BT$55"),INDIRECT("'"&amp;$M$46&amp;"'!BT$56")),""),""))</f>
        <v/>
      </c>
    </row>
    <row r="51" spans="1:17" ht="15" customHeight="1" x14ac:dyDescent="0.25">
      <c r="A51" s="183"/>
      <c r="B51" s="982"/>
      <c r="C51" s="982"/>
      <c r="D51" s="982"/>
      <c r="E51" s="982"/>
      <c r="F51" s="999"/>
      <c r="G51" s="66">
        <v>0</v>
      </c>
      <c r="H51" s="67">
        <f>G51*12</f>
        <v>0</v>
      </c>
      <c r="J51" s="119" t="s">
        <v>726</v>
      </c>
      <c r="K51" s="194" t="str" cm="1">
        <f t="array" aca="1" ref="K51" ca="1">IF(OR('Project Summary'!$C$66="No",'Project Summary'!$C$66=""),"",_xlfn.IFNA(IF(OR('Project Summary'!$C$66="Yes",'Project Summary'!$C$66=""),CHOOSE(MATCH($M$27,INDIRECT("'"&amp;$M$46&amp;"'!$A$4:$A$56")),INDIRECT("'"&amp;$M$46&amp;"'!BW$4"),INDIRECT("'"&amp;$M$46&amp;"'!BW$5"),INDIRECT("'"&amp;$M$46&amp;"'!BW$6"),INDIRECT("'"&amp;$M$46&amp;"'!BW$7"),INDIRECT("'"&amp;$M$46&amp;"'!BW$8"),INDIRECT("'"&amp;$M$46&amp;"'!BW$9"),INDIRECT("'"&amp;$M$46&amp;"'!BW$10"),INDIRECT("'"&amp;$M$46&amp;"'!BW$11"),INDIRECT("'"&amp;$M$46&amp;"'!BW$12"),INDIRECT("'"&amp;$M$46&amp;"'!BW$13"),INDIRECT("'"&amp;$M$46&amp;"'!BW$14"),INDIRECT("'"&amp;$M$46&amp;"'!BW$15"),INDIRECT("'"&amp;$M$46&amp;"'!BW$16"),INDIRECT("'"&amp;$M$46&amp;"'!BW$17"),INDIRECT("'"&amp;$M$46&amp;"'!BW$18"),INDIRECT("'"&amp;$M$46&amp;"'!BW$19"),INDIRECT("'"&amp;$M$46&amp;"'!BW$20"),INDIRECT("'"&amp;$M$46&amp;"'!BW$21"),INDIRECT("'"&amp;$M$46&amp;"'!BW$22"),INDIRECT("'"&amp;$M$46&amp;"'!BW$23"),INDIRECT("'"&amp;$M$46&amp;"'!BW$24"),INDIRECT("'"&amp;$M$46&amp;"'!BW$25"),INDIRECT("'"&amp;$M$46&amp;"'!BW$26"),INDIRECT("'"&amp;$M$46&amp;"'!BW$27"),INDIRECT("'"&amp;$M$46&amp;"'!BW$28"),INDIRECT("'"&amp;$M$46&amp;"'!BW$29"),INDIRECT("'"&amp;$M$46&amp;"'!BW$30"),INDIRECT("'"&amp;$M$46&amp;"'!BW$31"),INDIRECT("'"&amp;$M$46&amp;"'!BW$32"),INDIRECT("'"&amp;$M$46&amp;"'!BW$33"),INDIRECT("'"&amp;$M$46&amp;"'!BW$34"),INDIRECT("'"&amp;$M$46&amp;"'!BW$35"),INDIRECT("'"&amp;$M$46&amp;"'!BW$36"),INDIRECT("'"&amp;$M$46&amp;"'!BW$37"),INDIRECT("'"&amp;$M$46&amp;"'!BW$38"),INDIRECT("'"&amp;$M$46&amp;"'!BW$39"),INDIRECT("'"&amp;$M$46&amp;"'!BW$40"),INDIRECT("'"&amp;$M$46&amp;"'!BW$41"),INDIRECT("'"&amp;$M$46&amp;"'!BW$42"),INDIRECT("'"&amp;$M$46&amp;"'!BW$43"),INDIRECT("'"&amp;$M$46&amp;"'!BW$44"),INDIRECT("'"&amp;$M$46&amp;"'!BW$45"),INDIRECT("'"&amp;$M$46&amp;"'!BW$46"),INDIRECT("'"&amp;$M$46&amp;"'!BW$47"),INDIRECT("'"&amp;$M$46&amp;"'!BW$48"),INDIRECT("'"&amp;$M$46&amp;"'!BW$49"),INDIRECT("'"&amp;$M$46&amp;"'!BW$50"),INDIRECT("'"&amp;$M$46&amp;"'!BW$51"),INDIRECT("'"&amp;$M$46&amp;"'!BW$52"),INDIRECT("'"&amp;$M$46&amp;"'!BW$53"),INDIRECT("'"&amp;$M$46&amp;"'!BW$54"),INDIRECT("'"&amp;$M$46&amp;"'!BW$55"),INDIRECT("'"&amp;$M$46&amp;"'!BW$56")),""),""))</f>
        <v/>
      </c>
      <c r="L51" s="194" t="str" cm="1">
        <f t="array" aca="1" ref="L51" ca="1">IF(OR('Project Summary'!$C$66="No",'Project Summary'!$C$66=""),"",_xlfn.IFNA(IF(OR('Project Summary'!$C$66="Yes",'Project Summary'!$C$66=""),CHOOSE(MATCH('Project Summary'!$C$13,INDIRECT("'"&amp;$M$46&amp;"'!$A$4:$A$56")),INDIRECT("'"&amp;$M$46&amp;"'!BX$4"),INDIRECT("'"&amp;$M$46&amp;"'!BX$5"),INDIRECT("'"&amp;$M$46&amp;"'!BX$6"),INDIRECT("'"&amp;$M$46&amp;"'!BX$7"),INDIRECT("'"&amp;$M$46&amp;"'!BX$8"),INDIRECT("'"&amp;$M$46&amp;"'!BX$9"),INDIRECT("'"&amp;$M$46&amp;"'!BX$10"),INDIRECT("'"&amp;$M$46&amp;"'!BX$11"),INDIRECT("'"&amp;$M$46&amp;"'!BX$12"),INDIRECT("'"&amp;$M$46&amp;"'!BX$13"),INDIRECT("'"&amp;$M$46&amp;"'!BX$14"),INDIRECT("'"&amp;$M$46&amp;"'!BX$15"),INDIRECT("'"&amp;$M$46&amp;"'!BX$16"),INDIRECT("'"&amp;$M$46&amp;"'!BX$17"),INDIRECT("'"&amp;$M$46&amp;"'!BX$18"),INDIRECT("'"&amp;$M$46&amp;"'!BX$19"),INDIRECT("'"&amp;$M$46&amp;"'!BX$20"),INDIRECT("'"&amp;$M$46&amp;"'!BX$21"),INDIRECT("'"&amp;$M$46&amp;"'!BX$22"),INDIRECT("'"&amp;$M$46&amp;"'!BX$23"),INDIRECT("'"&amp;$M$46&amp;"'!BX$24"),INDIRECT("'"&amp;$M$46&amp;"'!BX$25"),INDIRECT("'"&amp;$M$46&amp;"'!BX$26"),INDIRECT("'"&amp;$M$46&amp;"'!BX$27"),INDIRECT("'"&amp;$M$46&amp;"'!BX$28"),INDIRECT("'"&amp;$M$46&amp;"'!BX$29"),INDIRECT("'"&amp;$M$46&amp;"'!BX$30"),INDIRECT("'"&amp;$M$46&amp;"'!BX$31"),INDIRECT("'"&amp;$M$46&amp;"'!BX$32"),INDIRECT("'"&amp;$M$46&amp;"'!BX$33"),INDIRECT("'"&amp;$M$46&amp;"'!BX$34"),INDIRECT("'"&amp;$M$46&amp;"'!BX$35"),INDIRECT("'"&amp;$M$46&amp;"'!BX$36"),INDIRECT("'"&amp;$M$46&amp;"'!BX$37"),INDIRECT("'"&amp;$M$46&amp;"'!BX$38"),INDIRECT("'"&amp;$M$46&amp;"'!BX$39"),INDIRECT("'"&amp;$M$46&amp;"'!BX$40"),INDIRECT("'"&amp;$M$46&amp;"'!BX$41"),INDIRECT("'"&amp;$M$46&amp;"'!BX$42"),INDIRECT("'"&amp;$M$46&amp;"'!BX$43"),INDIRECT("'"&amp;$M$46&amp;"'!BX$44"),INDIRECT("'"&amp;$M$46&amp;"'!BX$45"),INDIRECT("'"&amp;$M$46&amp;"'!BX$46"),INDIRECT("'"&amp;$M$46&amp;"'!BX$47"),INDIRECT("'"&amp;$M$46&amp;"'!BX$48"),INDIRECT("'"&amp;$M$46&amp;"'!BX$49"),INDIRECT("'"&amp;$M$46&amp;"'!BX$50"),INDIRECT("'"&amp;$M$46&amp;"'!BX$51"),INDIRECT("'"&amp;$M$46&amp;"'!BX$52"),INDIRECT("'"&amp;$M$46&amp;"'!BX$53"),INDIRECT("'"&amp;$M$46&amp;"'!BX$54"),INDIRECT("'"&amp;$M$46&amp;"'!BX$55"),INDIRECT("'"&amp;$M$46&amp;"'!BX$56")),""),""))</f>
        <v/>
      </c>
      <c r="M51" s="194" t="str" cm="1">
        <f t="array" aca="1" ref="M51" ca="1">IF(OR('Project Summary'!$C$66="No",'Project Summary'!$C$66=""),"",_xlfn.IFNA(IF(OR('Project Summary'!$C$66="Yes",'Project Summary'!$C$66=""),CHOOSE(MATCH('Project Summary'!$C$13,INDIRECT("'"&amp;$M$46&amp;"'!$A$4:$A$56")),INDIRECT("'"&amp;$M$46&amp;"'!BY$4"),INDIRECT("'"&amp;$M$46&amp;"'!BY$5"),INDIRECT("'"&amp;$M$46&amp;"'!BY$6"),INDIRECT("'"&amp;$M$46&amp;"'!BY$7"),INDIRECT("'"&amp;$M$46&amp;"'!BY$8"),INDIRECT("'"&amp;$M$46&amp;"'!BY$9"),INDIRECT("'"&amp;$M$46&amp;"'!BY$10"),INDIRECT("'"&amp;$M$46&amp;"'!BY$11"),INDIRECT("'"&amp;$M$46&amp;"'!BY$12"),INDIRECT("'"&amp;$M$46&amp;"'!BY$13"),INDIRECT("'"&amp;$M$46&amp;"'!BY$14"),INDIRECT("'"&amp;$M$46&amp;"'!BY$15"),INDIRECT("'"&amp;$M$46&amp;"'!BY$16"),INDIRECT("'"&amp;$M$46&amp;"'!BY$17"),INDIRECT("'"&amp;$M$46&amp;"'!BY$18"),INDIRECT("'"&amp;$M$46&amp;"'!BY$19"),INDIRECT("'"&amp;$M$46&amp;"'!BY$20"),INDIRECT("'"&amp;$M$46&amp;"'!BY$21"),INDIRECT("'"&amp;$M$46&amp;"'!BY$22"),INDIRECT("'"&amp;$M$46&amp;"'!BY$23"),INDIRECT("'"&amp;$M$46&amp;"'!BY$24"),INDIRECT("'"&amp;$M$46&amp;"'!BY$25"),INDIRECT("'"&amp;$M$46&amp;"'!BY$26"),INDIRECT("'"&amp;$M$46&amp;"'!BY$27"),INDIRECT("'"&amp;$M$46&amp;"'!BY$28"),INDIRECT("'"&amp;$M$46&amp;"'!BY$29"),INDIRECT("'"&amp;$M$46&amp;"'!BY$30"),INDIRECT("'"&amp;$M$46&amp;"'!BY$31"),INDIRECT("'"&amp;$M$46&amp;"'!BY$32"),INDIRECT("'"&amp;$M$46&amp;"'!BY$33"),INDIRECT("'"&amp;$M$46&amp;"'!BY$34"),INDIRECT("'"&amp;$M$46&amp;"'!BY$35"),INDIRECT("'"&amp;$M$46&amp;"'!BY$36"),INDIRECT("'"&amp;$M$46&amp;"'!BY$37"),INDIRECT("'"&amp;$M$46&amp;"'!BY$38"),INDIRECT("'"&amp;$M$46&amp;"'!BY$39"),INDIRECT("'"&amp;$M$46&amp;"'!BY$40"),INDIRECT("'"&amp;$M$46&amp;"'!BY$41"),INDIRECT("'"&amp;$M$46&amp;"'!BY$42"),INDIRECT("'"&amp;$M$46&amp;"'!BY$43"),INDIRECT("'"&amp;$M$46&amp;"'!BY$44"),INDIRECT("'"&amp;$M$46&amp;"'!BY$45"),INDIRECT("'"&amp;$M$46&amp;"'!BY$46"),INDIRECT("'"&amp;$M$46&amp;"'!BY$47"),INDIRECT("'"&amp;$M$46&amp;"'!BY$48"),INDIRECT("'"&amp;$M$46&amp;"'!BY$49"),INDIRECT("'"&amp;$M$46&amp;"'!BY$50"),INDIRECT("'"&amp;$M$46&amp;"'!BY$51"),INDIRECT("'"&amp;$M$46&amp;"'!BY$52"),INDIRECT("'"&amp;$M$46&amp;"'!BY$53"),INDIRECT("'"&amp;$M$46&amp;"'!BY$54"),INDIRECT("'"&amp;$M$46&amp;"'!BY$55"),INDIRECT("'"&amp;$M$46&amp;"'!BY$56")),""),""))</f>
        <v/>
      </c>
      <c r="N51" s="194" t="str" cm="1">
        <f t="array" aca="1" ref="N51" ca="1">IF(OR('Project Summary'!$C$66="No",'Project Summary'!$C$66=""),"",_xlfn.IFNA(IF(OR('Project Summary'!$C$66="Yes",'Project Summary'!$C$66=""),CHOOSE(MATCH('Project Summary'!$C$13,INDIRECT("'"&amp;$M$46&amp;"'!$A$4:$A$56")),INDIRECT("'"&amp;$M$46&amp;"'!BZ$4"),INDIRECT("'"&amp;$M$46&amp;"'!BZ$5"),INDIRECT("'"&amp;$M$46&amp;"'!BZ$6"),INDIRECT("'"&amp;$M$46&amp;"'!BZ$7"),INDIRECT("'"&amp;$M$46&amp;"'!BZ$8"),INDIRECT("'"&amp;$M$46&amp;"'!BZ$9"),INDIRECT("'"&amp;$M$46&amp;"'!BZ$10"),INDIRECT("'"&amp;$M$46&amp;"'!BZ$11"),INDIRECT("'"&amp;$M$46&amp;"'!BZ$12"),INDIRECT("'"&amp;$M$46&amp;"'!BZ$13"),INDIRECT("'"&amp;$M$46&amp;"'!BZ$14"),INDIRECT("'"&amp;$M$46&amp;"'!BZ$15"),INDIRECT("'"&amp;$M$46&amp;"'!BZ$16"),INDIRECT("'"&amp;$M$46&amp;"'!BZ$17"),INDIRECT("'"&amp;$M$46&amp;"'!BZ$18"),INDIRECT("'"&amp;$M$46&amp;"'!BZ$19"),INDIRECT("'"&amp;$M$46&amp;"'!BZ$20"),INDIRECT("'"&amp;$M$46&amp;"'!BZ$21"),INDIRECT("'"&amp;$M$46&amp;"'!BZ$22"),INDIRECT("'"&amp;$M$46&amp;"'!BZ$23"),INDIRECT("'"&amp;$M$46&amp;"'!BZ$24"),INDIRECT("'"&amp;$M$46&amp;"'!BZ$25"),INDIRECT("'"&amp;$M$46&amp;"'!BZ$26"),INDIRECT("'"&amp;$M$46&amp;"'!BZ$27"),INDIRECT("'"&amp;$M$46&amp;"'!BZ$28"),INDIRECT("'"&amp;$M$46&amp;"'!BZ$29"),INDIRECT("'"&amp;$M$46&amp;"'!BZ$30"),INDIRECT("'"&amp;$M$46&amp;"'!BZ$31"),INDIRECT("'"&amp;$M$46&amp;"'!BZ$32"),INDIRECT("'"&amp;$M$46&amp;"'!BZ$33"),INDIRECT("'"&amp;$M$46&amp;"'!BZ$34"),INDIRECT("'"&amp;$M$46&amp;"'!BZ$35"),INDIRECT("'"&amp;$M$46&amp;"'!BZ$36"),INDIRECT("'"&amp;$M$46&amp;"'!BZ$37"),INDIRECT("'"&amp;$M$46&amp;"'!BZ$38"),INDIRECT("'"&amp;$M$46&amp;"'!BZ$39"),INDIRECT("'"&amp;$M$46&amp;"'!BZ$40"),INDIRECT("'"&amp;$M$46&amp;"'!BZ$41"),INDIRECT("'"&amp;$M$46&amp;"'!BZ$42"),INDIRECT("'"&amp;$M$46&amp;"'!BZ$43"),INDIRECT("'"&amp;$M$46&amp;"'!BZ$44"),INDIRECT("'"&amp;$M$46&amp;"'!BZ$45"),INDIRECT("'"&amp;$M$46&amp;"'!BZ$46"),INDIRECT("'"&amp;$M$46&amp;"'!BZ$47"),INDIRECT("'"&amp;$M$46&amp;"'!BZ$48"),INDIRECT("'"&amp;$M$46&amp;"'!BZ$49"),INDIRECT("'"&amp;$M$46&amp;"'!BZ$50"),INDIRECT("'"&amp;$M$46&amp;"'!BZ$51"),INDIRECT("'"&amp;$M$46&amp;"'!BZ$52"),INDIRECT("'"&amp;$M$46&amp;"'!BZ$53"),INDIRECT("'"&amp;$M$46&amp;"'!BZ$54"),INDIRECT("'"&amp;$M$46&amp;"'!BZ$55"),INDIRECT("'"&amp;$M$46&amp;"'!BZ$56")),""),""))</f>
        <v/>
      </c>
      <c r="O51" s="194" t="str" cm="1">
        <f t="array" aca="1" ref="O51" ca="1">IF(OR('Project Summary'!$C$66="No",'Project Summary'!$C$66=""),"",_xlfn.IFNA(IF(OR('Project Summary'!$C$66="Yes",'Project Summary'!$C$66=""),CHOOSE(MATCH('Project Summary'!$C$13,INDIRECT("'"&amp;$M$46&amp;"'!$A$4:$A$56")),INDIRECT("'"&amp;$M$46&amp;"'!CA$4"),INDIRECT("'"&amp;$M$46&amp;"'!CA$5"),INDIRECT("'"&amp;$M$46&amp;"'!CA$6"),INDIRECT("'"&amp;$M$46&amp;"'!CA$7"),INDIRECT("'"&amp;$M$46&amp;"'!CA$8"),INDIRECT("'"&amp;$M$46&amp;"'!CA$9"),INDIRECT("'"&amp;$M$46&amp;"'!CA$10"),INDIRECT("'"&amp;$M$46&amp;"'!CA$11"),INDIRECT("'"&amp;$M$46&amp;"'!CA$12"),INDIRECT("'"&amp;$M$46&amp;"'!CA$13"),INDIRECT("'"&amp;$M$46&amp;"'!CA$14"),INDIRECT("'"&amp;$M$46&amp;"'!CA$15"),INDIRECT("'"&amp;$M$46&amp;"'!CA$16"),INDIRECT("'"&amp;$M$46&amp;"'!CA$17"),INDIRECT("'"&amp;$M$46&amp;"'!CA$18"),INDIRECT("'"&amp;$M$46&amp;"'!CA$19"),INDIRECT("'"&amp;$M$46&amp;"'!CA$20"),INDIRECT("'"&amp;$M$46&amp;"'!CA$21"),INDIRECT("'"&amp;$M$46&amp;"'!CA$22"),INDIRECT("'"&amp;$M$46&amp;"'!CA$23"),INDIRECT("'"&amp;$M$46&amp;"'!CA$24"),INDIRECT("'"&amp;$M$46&amp;"'!CA$25"),INDIRECT("'"&amp;$M$46&amp;"'!CA$26"),INDIRECT("'"&amp;$M$46&amp;"'!CA$27"),INDIRECT("'"&amp;$M$46&amp;"'!CA$28"),INDIRECT("'"&amp;$M$46&amp;"'!CA$29"),INDIRECT("'"&amp;$M$46&amp;"'!CA$30"),INDIRECT("'"&amp;$M$46&amp;"'!CA$31"),INDIRECT("'"&amp;$M$46&amp;"'!CA$32"),INDIRECT("'"&amp;$M$46&amp;"'!CA$33"),INDIRECT("'"&amp;$M$46&amp;"'!CA$34"),INDIRECT("'"&amp;$M$46&amp;"'!CA$35"),INDIRECT("'"&amp;$M$46&amp;"'!CA$36"),INDIRECT("'"&amp;$M$46&amp;"'!CA$37"),INDIRECT("'"&amp;$M$46&amp;"'!CA$38"),INDIRECT("'"&amp;$M$46&amp;"'!CA$39"),INDIRECT("'"&amp;$M$46&amp;"'!CA$40"),INDIRECT("'"&amp;$M$46&amp;"'!CA$41"),INDIRECT("'"&amp;$M$46&amp;"'!CA$42"),INDIRECT("'"&amp;$M$46&amp;"'!CA$43"),INDIRECT("'"&amp;$M$46&amp;"'!CA$44"),INDIRECT("'"&amp;$M$46&amp;"'!CA$45"),INDIRECT("'"&amp;$M$46&amp;"'!CA$46"),INDIRECT("'"&amp;$M$46&amp;"'!CA$47"),INDIRECT("'"&amp;$M$46&amp;"'!CA$48"),INDIRECT("'"&amp;$M$46&amp;"'!CA$49"),INDIRECT("'"&amp;$M$46&amp;"'!CA$50"),INDIRECT("'"&amp;$M$46&amp;"'!CA$51"),INDIRECT("'"&amp;$M$46&amp;"'!CA$52"),INDIRECT("'"&amp;$M$46&amp;"'!CA$53"),INDIRECT("'"&amp;$M$46&amp;"'!CA$54"),INDIRECT("'"&amp;$M$46&amp;"'!CA$55"),INDIRECT("'"&amp;$M$46&amp;"'!CA$56")),""),""))</f>
        <v/>
      </c>
    </row>
    <row r="52" spans="1:17" ht="15" customHeight="1" x14ac:dyDescent="0.25">
      <c r="A52" s="183"/>
      <c r="B52" s="982"/>
      <c r="C52" s="982"/>
      <c r="D52" s="982"/>
      <c r="E52" s="982"/>
      <c r="F52" s="999"/>
      <c r="G52" s="66">
        <v>0</v>
      </c>
      <c r="H52" s="67">
        <f>G52*12</f>
        <v>0</v>
      </c>
      <c r="J52" s="321"/>
      <c r="K52" s="514"/>
      <c r="L52" s="514"/>
      <c r="M52" s="514"/>
      <c r="N52" s="514"/>
      <c r="O52" s="514"/>
      <c r="Q52" s="370"/>
    </row>
    <row r="53" spans="1:17" ht="15" customHeight="1" thickBot="1" x14ac:dyDescent="0.35">
      <c r="A53" s="183"/>
      <c r="B53" s="982"/>
      <c r="C53" s="982"/>
      <c r="D53" s="982"/>
      <c r="E53" s="982"/>
      <c r="F53" s="999"/>
      <c r="G53" s="68">
        <v>0</v>
      </c>
      <c r="H53" s="67">
        <f>G53*12</f>
        <v>0</v>
      </c>
      <c r="J53" s="977" t="s">
        <v>1111</v>
      </c>
      <c r="K53" s="977"/>
      <c r="L53" s="977"/>
      <c r="M53" s="976" t="s">
        <v>1121</v>
      </c>
      <c r="N53" s="976"/>
      <c r="O53" s="419"/>
      <c r="Q53" s="371"/>
    </row>
    <row r="54" spans="1:17" x14ac:dyDescent="0.25">
      <c r="A54" s="183"/>
      <c r="B54" s="981" t="s">
        <v>175</v>
      </c>
      <c r="C54" s="981"/>
      <c r="D54" s="981"/>
      <c r="E54" s="981"/>
      <c r="F54" s="981"/>
      <c r="G54" s="69">
        <f>SUM(G51:G53)</f>
        <v>0</v>
      </c>
      <c r="H54" s="70">
        <f>SUM(H51:H53)</f>
        <v>0</v>
      </c>
      <c r="K54" s="973" t="s">
        <v>136</v>
      </c>
      <c r="L54" s="974"/>
      <c r="M54" s="974"/>
      <c r="N54" s="974"/>
      <c r="O54" s="975"/>
    </row>
    <row r="55" spans="1:17" ht="15" customHeight="1" x14ac:dyDescent="0.3">
      <c r="A55" s="183"/>
      <c r="B55" s="981" t="s">
        <v>176</v>
      </c>
      <c r="C55" s="981"/>
      <c r="D55" s="981"/>
      <c r="E55" s="981"/>
      <c r="F55" s="1000">
        <f>H49+G54</f>
        <v>0</v>
      </c>
      <c r="G55" s="1000"/>
      <c r="H55" s="70">
        <f>H48+H54</f>
        <v>0</v>
      </c>
      <c r="I55" s="212"/>
      <c r="J55" s="215"/>
      <c r="K55" s="216" t="str">
        <f>K$30</f>
        <v>Efficiency</v>
      </c>
      <c r="L55" s="216">
        <f t="shared" ref="L55:O55" si="7">L$30</f>
        <v>1</v>
      </c>
      <c r="M55" s="216">
        <f t="shared" si="7"/>
        <v>2</v>
      </c>
      <c r="N55" s="216">
        <f t="shared" si="7"/>
        <v>3</v>
      </c>
      <c r="O55" s="216">
        <f t="shared" si="7"/>
        <v>4</v>
      </c>
    </row>
    <row r="56" spans="1:17" ht="15" customHeight="1" x14ac:dyDescent="0.3">
      <c r="A56" s="897" t="s">
        <v>221</v>
      </c>
      <c r="B56" s="898"/>
      <c r="C56" s="898"/>
      <c r="D56" s="898"/>
      <c r="E56" s="898"/>
      <c r="F56" s="898"/>
      <c r="G56" s="328">
        <f ca="1">IFERROR(MAX(7%,1/$E$48),7%)</f>
        <v>7.0000000000000007E-2</v>
      </c>
      <c r="H56" s="5">
        <f ca="1">-(H48+H54)*G56</f>
        <v>0</v>
      </c>
      <c r="I56" s="212"/>
      <c r="J56" s="119" t="s">
        <v>236</v>
      </c>
      <c r="K56" s="194" t="str">
        <f>IF(OR('UA''s &amp; PBV Standards'!D$22=0,'UA''s &amp; PBV Standards'!D$22=""),"",'UA''s &amp; PBV Standards'!D$22)</f>
        <v/>
      </c>
      <c r="L56" s="194" t="str">
        <f>IF(OR('UA''s &amp; PBV Standards'!E$22=0,'UA''s &amp; PBV Standards'!E$22=""),"",'UA''s &amp; PBV Standards'!E$22)</f>
        <v/>
      </c>
      <c r="M56" s="194" t="str">
        <f>IF(OR('UA''s &amp; PBV Standards'!F$22=0,'UA''s &amp; PBV Standards'!F$22=""),"",'UA''s &amp; PBV Standards'!F$22)</f>
        <v/>
      </c>
      <c r="N56" s="194" t="str">
        <f>IF(OR('UA''s &amp; PBV Standards'!G$22=0,'UA''s &amp; PBV Standards'!G$22=""),"",'UA''s &amp; PBV Standards'!G$22)</f>
        <v/>
      </c>
      <c r="O56" s="194" t="str">
        <f>IF(OR('UA''s &amp; PBV Standards'!H$22=0,'UA''s &amp; PBV Standards'!H$22=""),"",'UA''s &amp; PBV Standards'!H$22)</f>
        <v/>
      </c>
    </row>
    <row r="57" spans="1:17" ht="16.5" customHeight="1" thickBot="1" x14ac:dyDescent="0.3">
      <c r="A57" s="996" t="s">
        <v>177</v>
      </c>
      <c r="B57" s="997"/>
      <c r="C57" s="997"/>
      <c r="D57" s="997"/>
      <c r="E57" s="997"/>
      <c r="F57" s="997"/>
      <c r="G57" s="998"/>
      <c r="H57" s="34">
        <f ca="1">(H48+H54)+H56</f>
        <v>0</v>
      </c>
      <c r="J57" s="119">
        <v>0.3</v>
      </c>
      <c r="K57" s="194" t="str" cm="1">
        <f t="array" aca="1" ref="K57" ca="1">IF(OR('Project Summary'!$C$89="No",'Project Summary'!$C$89=""),"",_xlfn.IFNA(IF(OR('Project Summary'!$C$89="Yes",'Project Summary'!$C$89=""),CHOOSE(MATCH($M$27,INDIRECT("'"&amp;$M$53&amp;"'!$A$4:$A$56")),INDIRECT("'"&amp;$M$53&amp;"'!AS$4"),INDIRECT("'"&amp;$M$53&amp;"'!AS$5"),INDIRECT("'"&amp;$M$53&amp;"'!AS$6"),INDIRECT("'"&amp;$M$53&amp;"'!AS$7"),INDIRECT("'"&amp;$M$53&amp;"'!AS$8"),INDIRECT("'"&amp;$M$53&amp;"'!AS$9"),INDIRECT("'"&amp;$M$53&amp;"'!AS$10"),INDIRECT("'"&amp;$M$53&amp;"'!AS$11"),INDIRECT("'"&amp;$M$53&amp;"'!AS$12"),INDIRECT("'"&amp;$M$53&amp;"'!AS$13"),INDIRECT("'"&amp;$M$53&amp;"'!AS$14"),INDIRECT("'"&amp;$M$53&amp;"'!AS$15"),INDIRECT("'"&amp;$M$53&amp;"'!AS$16"),INDIRECT("'"&amp;$M$53&amp;"'!AS$17"),INDIRECT("'"&amp;$M$53&amp;"'!AS$18"),INDIRECT("'"&amp;$M$53&amp;"'!AS$19"),INDIRECT("'"&amp;$M$53&amp;"'!AS$20"),INDIRECT("'"&amp;$M$53&amp;"'!AS$21"),INDIRECT("'"&amp;$M$53&amp;"'!AS$22"),INDIRECT("'"&amp;$M$53&amp;"'!AS$23"),INDIRECT("'"&amp;$M$53&amp;"'!AS$24"),INDIRECT("'"&amp;$M$53&amp;"'!AS$25"),INDIRECT("'"&amp;$M$53&amp;"'!AS$26"),INDIRECT("'"&amp;$M$53&amp;"'!AS$27"),INDIRECT("'"&amp;$M$53&amp;"'!AS$28"),INDIRECT("'"&amp;$M$53&amp;"'!AS$29"),INDIRECT("'"&amp;$M$53&amp;"'!AS$30"),INDIRECT("'"&amp;$M$53&amp;"'!AS$31"),INDIRECT("'"&amp;$M$53&amp;"'!AS$32"),INDIRECT("'"&amp;$M$53&amp;"'!AS$33"),INDIRECT("'"&amp;$M$53&amp;"'!AS$34"),INDIRECT("'"&amp;$M$53&amp;"'!AS$35"),INDIRECT("'"&amp;$M$53&amp;"'!AS$36"),INDIRECT("'"&amp;$M$53&amp;"'!AS$37"),INDIRECT("'"&amp;$M$53&amp;"'!AS$38"),INDIRECT("'"&amp;$M$53&amp;"'!AS$39"),INDIRECT("'"&amp;$M$53&amp;"'!AS$40"),INDIRECT("'"&amp;$M$53&amp;"'!AS$41"),INDIRECT("'"&amp;$M$53&amp;"'!AS$42"),INDIRECT("'"&amp;$M$53&amp;"'!AS$43"),INDIRECT("'"&amp;$M$53&amp;"'!AS$44"),INDIRECT("'"&amp;$M$53&amp;"'!AS$45"),INDIRECT("'"&amp;$M$53&amp;"'!AS$46"),INDIRECT("'"&amp;$M$53&amp;"'!AS$47"),INDIRECT("'"&amp;$M$53&amp;"'!AS$48"),INDIRECT("'"&amp;$M$53&amp;"'!AS$49"),INDIRECT("'"&amp;$M$53&amp;"'!AS$50"),INDIRECT("'"&amp;$M$53&amp;"'!AS$51"),INDIRECT("'"&amp;$M$53&amp;"'!AS$52"),INDIRECT("'"&amp;$M$53&amp;"'!AS$53"),INDIRECT("'"&amp;$M$53&amp;"'!AS$54"),INDIRECT("'"&amp;$M$53&amp;"'!AS$55"),INDIRECT("'"&amp;$M$53&amp;"'!AS$56")),""),""))</f>
        <v/>
      </c>
      <c r="L57" s="194" t="str" cm="1">
        <f t="array" aca="1" ref="L57" ca="1">IF(OR('Project Summary'!$C$89="No",'Project Summary'!$C$89=""),"",_xlfn.IFNA(IF(OR('Project Summary'!$C$89="Yes",'Project Summary'!$C$89=""),CHOOSE(MATCH($M$27,INDIRECT("'"&amp;$M$53&amp;"'!$A$4:$A$56")),INDIRECT("'"&amp;$M$53&amp;"'!AT$4"),INDIRECT("'"&amp;$M$53&amp;"'!AT$5"),INDIRECT("'"&amp;$M$53&amp;"'!AT$6"),INDIRECT("'"&amp;$M$53&amp;"'!AT$7"),INDIRECT("'"&amp;$M$53&amp;"'!AT$8"),INDIRECT("'"&amp;$M$53&amp;"'!AT$9"),INDIRECT("'"&amp;$M$53&amp;"'!AT$10"),INDIRECT("'"&amp;$M$53&amp;"'!AT$11"),INDIRECT("'"&amp;$M$53&amp;"'!AT$12"),INDIRECT("'"&amp;$M$53&amp;"'!AT$13"),INDIRECT("'"&amp;$M$53&amp;"'!AT$14"),INDIRECT("'"&amp;$M$53&amp;"'!AT$15"),INDIRECT("'"&amp;$M$53&amp;"'!AT$16"),INDIRECT("'"&amp;$M$53&amp;"'!AT$17"),INDIRECT("'"&amp;$M$53&amp;"'!AT$18"),INDIRECT("'"&amp;$M$53&amp;"'!AT$19"),INDIRECT("'"&amp;$M$53&amp;"'!AT$20"),INDIRECT("'"&amp;$M$53&amp;"'!AT$21"),INDIRECT("'"&amp;$M$53&amp;"'!AT$22"),INDIRECT("'"&amp;$M$53&amp;"'!AT$23"),INDIRECT("'"&amp;$M$53&amp;"'!AT$24"),INDIRECT("'"&amp;$M$53&amp;"'!AT$25"),INDIRECT("'"&amp;$M$53&amp;"'!AT$26"),INDIRECT("'"&amp;$M$53&amp;"'!AT$27"),INDIRECT("'"&amp;$M$53&amp;"'!AT$28"),INDIRECT("'"&amp;$M$53&amp;"'!AT$29"),INDIRECT("'"&amp;$M$53&amp;"'!AT$30"),INDIRECT("'"&amp;$M$53&amp;"'!AT$31"),INDIRECT("'"&amp;$M$53&amp;"'!AT$32"),INDIRECT("'"&amp;$M$53&amp;"'!AT$33"),INDIRECT("'"&amp;$M$53&amp;"'!AT$34"),INDIRECT("'"&amp;$M$53&amp;"'!AT$35"),INDIRECT("'"&amp;$M$53&amp;"'!AT$36"),INDIRECT("'"&amp;$M$53&amp;"'!AT$37"),INDIRECT("'"&amp;$M$53&amp;"'!AT$38"),INDIRECT("'"&amp;$M$53&amp;"'!AT$39"),INDIRECT("'"&amp;$M$53&amp;"'!AT$40"),INDIRECT("'"&amp;$M$53&amp;"'!AT$41"),INDIRECT("'"&amp;$M$53&amp;"'!AT$42"),INDIRECT("'"&amp;$M$53&amp;"'!AT$43"),INDIRECT("'"&amp;$M$53&amp;"'!AT$44"),INDIRECT("'"&amp;$M$53&amp;"'!AT$45"),INDIRECT("'"&amp;$M$53&amp;"'!AT$46"),INDIRECT("'"&amp;$M$53&amp;"'!AT$47"),INDIRECT("'"&amp;$M$53&amp;"'!AT$48"),INDIRECT("'"&amp;$M$53&amp;"'!AT$49"),INDIRECT("'"&amp;$M$53&amp;"'!AT$50"),INDIRECT("'"&amp;$M$53&amp;"'!AT$51"),INDIRECT("'"&amp;$M$53&amp;"'!AT$52"),INDIRECT("'"&amp;$M$53&amp;"'!AT$53"),INDIRECT("'"&amp;$M$53&amp;"'!AT$54"),INDIRECT("'"&amp;$M$53&amp;"'!AT$55"),INDIRECT("'"&amp;$M$53&amp;"'!AT$56")),""),""))</f>
        <v/>
      </c>
      <c r="M57" s="194" t="str" cm="1">
        <f t="array" aca="1" ref="M57" ca="1">IF(OR('Project Summary'!$C$89="No",'Project Summary'!$C$89=""),"",_xlfn.IFNA(IF(OR('Project Summary'!$C$89="Yes",'Project Summary'!$C$89=""),CHOOSE(MATCH($M$27,INDIRECT("'"&amp;$M$53&amp;"'!$A$4:$A$56")),INDIRECT("'"&amp;$M$53&amp;"'!AU$4"),INDIRECT("'"&amp;$M$53&amp;"'!AU$5"),INDIRECT("'"&amp;$M$53&amp;"'!AU$6"),INDIRECT("'"&amp;$M$53&amp;"'!AU$7"),INDIRECT("'"&amp;$M$53&amp;"'!AU$8"),INDIRECT("'"&amp;$M$53&amp;"'!AU$9"),INDIRECT("'"&amp;$M$53&amp;"'!AU$10"),INDIRECT("'"&amp;$M$53&amp;"'!AU$11"),INDIRECT("'"&amp;$M$53&amp;"'!AU$12"),INDIRECT("'"&amp;$M$53&amp;"'!AU$13"),INDIRECT("'"&amp;$M$53&amp;"'!AU$14"),INDIRECT("'"&amp;$M$53&amp;"'!AU$15"),INDIRECT("'"&amp;$M$53&amp;"'!AU$16"),INDIRECT("'"&amp;$M$53&amp;"'!AU$17"),INDIRECT("'"&amp;$M$53&amp;"'!AU$18"),INDIRECT("'"&amp;$M$53&amp;"'!AU$19"),INDIRECT("'"&amp;$M$53&amp;"'!AU$20"),INDIRECT("'"&amp;$M$53&amp;"'!AU$21"),INDIRECT("'"&amp;$M$53&amp;"'!AU$22"),INDIRECT("'"&amp;$M$53&amp;"'!AU$23"),INDIRECT("'"&amp;$M$53&amp;"'!AU$24"),INDIRECT("'"&amp;$M$53&amp;"'!AU$25"),INDIRECT("'"&amp;$M$53&amp;"'!AU$26"),INDIRECT("'"&amp;$M$53&amp;"'!AU$27"),INDIRECT("'"&amp;$M$53&amp;"'!AU$28"),INDIRECT("'"&amp;$M$53&amp;"'!AU$29"),INDIRECT("'"&amp;$M$53&amp;"'!AU$30"),INDIRECT("'"&amp;$M$53&amp;"'!AU$31"),INDIRECT("'"&amp;$M$53&amp;"'!AU$32"),INDIRECT("'"&amp;$M$53&amp;"'!AU$33"),INDIRECT("'"&amp;$M$53&amp;"'!AU$34"),INDIRECT("'"&amp;$M$53&amp;"'!AU$35"),INDIRECT("'"&amp;$M$53&amp;"'!AU$36"),INDIRECT("'"&amp;$M$53&amp;"'!AU$37"),INDIRECT("'"&amp;$M$53&amp;"'!AU$38"),INDIRECT("'"&amp;$M$53&amp;"'!AU$39"),INDIRECT("'"&amp;$M$53&amp;"'!AU$40"),INDIRECT("'"&amp;$M$53&amp;"'!AU$41"),INDIRECT("'"&amp;$M$53&amp;"'!AU$42"),INDIRECT("'"&amp;$M$53&amp;"'!AU$43"),INDIRECT("'"&amp;$M$53&amp;"'!AU$44"),INDIRECT("'"&amp;$M$53&amp;"'!AU$45"),INDIRECT("'"&amp;$M$53&amp;"'!AU$46"),INDIRECT("'"&amp;$M$53&amp;"'!AU$47"),INDIRECT("'"&amp;$M$53&amp;"'!AU$48"),INDIRECT("'"&amp;$M$53&amp;"'!AU$49"),INDIRECT("'"&amp;$M$53&amp;"'!AU$50"),INDIRECT("'"&amp;$M$53&amp;"'!AU$51"),INDIRECT("'"&amp;$M$53&amp;"'!AU$52"),INDIRECT("'"&amp;$M$53&amp;"'!AU$53"),INDIRECT("'"&amp;$M$53&amp;"'!AU$54"),INDIRECT("'"&amp;$M$53&amp;"'!AU$55"),INDIRECT("'"&amp;$M$53&amp;"'!AU$56")),""),""))</f>
        <v/>
      </c>
      <c r="N57" s="194" t="str" cm="1">
        <f t="array" aca="1" ref="N57" ca="1">IF(OR('Project Summary'!$C$89="No",'Project Summary'!$C$89=""),"",_xlfn.IFNA(IF(OR('Project Summary'!$C$89="Yes",'Project Summary'!$C$89=""),CHOOSE(MATCH($M$27,INDIRECT("'"&amp;$M$53&amp;"'!$A$4:$A$56")),INDIRECT("'"&amp;$M$53&amp;"'!AV$4"),INDIRECT("'"&amp;$M$53&amp;"'!AV$5"),INDIRECT("'"&amp;$M$53&amp;"'!AV$6"),INDIRECT("'"&amp;$M$53&amp;"'!AV$7"),INDIRECT("'"&amp;$M$53&amp;"'!AV$8"),INDIRECT("'"&amp;$M$53&amp;"'!AV$9"),INDIRECT("'"&amp;$M$53&amp;"'!AV$10"),INDIRECT("'"&amp;$M$53&amp;"'!AV$11"),INDIRECT("'"&amp;$M$53&amp;"'!AV$12"),INDIRECT("'"&amp;$M$53&amp;"'!AV$13"),INDIRECT("'"&amp;$M$53&amp;"'!AV$14"),INDIRECT("'"&amp;$M$53&amp;"'!AV$15"),INDIRECT("'"&amp;$M$53&amp;"'!AV$16"),INDIRECT("'"&amp;$M$53&amp;"'!AV$17"),INDIRECT("'"&amp;$M$53&amp;"'!AV$18"),INDIRECT("'"&amp;$M$53&amp;"'!AV$19"),INDIRECT("'"&amp;$M$53&amp;"'!AV$20"),INDIRECT("'"&amp;$M$53&amp;"'!AV$21"),INDIRECT("'"&amp;$M$53&amp;"'!AV$22"),INDIRECT("'"&amp;$M$53&amp;"'!AV$23"),INDIRECT("'"&amp;$M$53&amp;"'!AV$24"),INDIRECT("'"&amp;$M$53&amp;"'!AV$25"),INDIRECT("'"&amp;$M$53&amp;"'!AV$26"),INDIRECT("'"&amp;$M$53&amp;"'!AV$27"),INDIRECT("'"&amp;$M$53&amp;"'!AV$28"),INDIRECT("'"&amp;$M$53&amp;"'!AV$29"),INDIRECT("'"&amp;$M$53&amp;"'!AV$30"),INDIRECT("'"&amp;$M$53&amp;"'!AV$31"),INDIRECT("'"&amp;$M$53&amp;"'!AV$32"),INDIRECT("'"&amp;$M$53&amp;"'!AV$33"),INDIRECT("'"&amp;$M$53&amp;"'!AV$34"),INDIRECT("'"&amp;$M$53&amp;"'!AV$35"),INDIRECT("'"&amp;$M$53&amp;"'!AV$36"),INDIRECT("'"&amp;$M$53&amp;"'!AV$37"),INDIRECT("'"&amp;$M$53&amp;"'!AV$38"),INDIRECT("'"&amp;$M$53&amp;"'!AV$39"),INDIRECT("'"&amp;$M$53&amp;"'!AV$40"),INDIRECT("'"&amp;$M$53&amp;"'!AV$41"),INDIRECT("'"&amp;$M$53&amp;"'!AV$42"),INDIRECT("'"&amp;$M$53&amp;"'!AV$43"),INDIRECT("'"&amp;$M$53&amp;"'!AV$44"),INDIRECT("'"&amp;$M$53&amp;"'!AV$45"),INDIRECT("'"&amp;$M$53&amp;"'!AV$46"),INDIRECT("'"&amp;$M$53&amp;"'!AV$47"),INDIRECT("'"&amp;$M$53&amp;"'!AV$48"),INDIRECT("'"&amp;$M$53&amp;"'!AV$49"),INDIRECT("'"&amp;$M$53&amp;"'!AV$50"),INDIRECT("'"&amp;$M$53&amp;"'!AV$51"),INDIRECT("'"&amp;$M$53&amp;"'!AV$52"),INDIRECT("'"&amp;$M$53&amp;"'!AV$53"),INDIRECT("'"&amp;$M$53&amp;"'!AV$54"),INDIRECT("'"&amp;$M$53&amp;"'!AV$55"),INDIRECT("'"&amp;$M$53&amp;"'!AV$56")),""),""))</f>
        <v/>
      </c>
      <c r="O57" s="194" t="str" cm="1">
        <f t="array" aca="1" ref="O57" ca="1">IF(OR('Project Summary'!$C$89="No",'Project Summary'!$C$89=""),"",_xlfn.IFNA(IF(OR('Project Summary'!$C$89="Yes",'Project Summary'!$C$89=""),CHOOSE(MATCH($M$27,INDIRECT("'"&amp;$M$53&amp;"'!$A$4:$A$56")),INDIRECT("'"&amp;$M$53&amp;"'!AW$4"),INDIRECT("'"&amp;$M$53&amp;"'!AW$5"),INDIRECT("'"&amp;$M$53&amp;"'!AW$6"),INDIRECT("'"&amp;$M$53&amp;"'!AW$7"),INDIRECT("'"&amp;$M$53&amp;"'!AW$8"),INDIRECT("'"&amp;$M$53&amp;"'!AW$9"),INDIRECT("'"&amp;$M$53&amp;"'!AW$10"),INDIRECT("'"&amp;$M$53&amp;"'!AW$11"),INDIRECT("'"&amp;$M$53&amp;"'!AW$12"),INDIRECT("'"&amp;$M$53&amp;"'!AW$13"),INDIRECT("'"&amp;$M$53&amp;"'!AW$14"),INDIRECT("'"&amp;$M$53&amp;"'!AW$15"),INDIRECT("'"&amp;$M$53&amp;"'!AW$16"),INDIRECT("'"&amp;$M$53&amp;"'!AW$17"),INDIRECT("'"&amp;$M$53&amp;"'!AW$18"),INDIRECT("'"&amp;$M$53&amp;"'!AW$19"),INDIRECT("'"&amp;$M$53&amp;"'!AW$20"),INDIRECT("'"&amp;$M$53&amp;"'!AW$21"),INDIRECT("'"&amp;$M$53&amp;"'!AW$22"),INDIRECT("'"&amp;$M$53&amp;"'!AW$23"),INDIRECT("'"&amp;$M$53&amp;"'!AW$24"),INDIRECT("'"&amp;$M$53&amp;"'!AW$25"),INDIRECT("'"&amp;$M$53&amp;"'!AW$26"),INDIRECT("'"&amp;$M$53&amp;"'!AW$27"),INDIRECT("'"&amp;$M$53&amp;"'!AW$28"),INDIRECT("'"&amp;$M$53&amp;"'!AW$29"),INDIRECT("'"&amp;$M$53&amp;"'!AW$30"),INDIRECT("'"&amp;$M$53&amp;"'!AW$31"),INDIRECT("'"&amp;$M$53&amp;"'!AW$32"),INDIRECT("'"&amp;$M$53&amp;"'!AW$33"),INDIRECT("'"&amp;$M$53&amp;"'!AW$34"),INDIRECT("'"&amp;$M$53&amp;"'!AW$35"),INDIRECT("'"&amp;$M$53&amp;"'!AW$36"),INDIRECT("'"&amp;$M$53&amp;"'!AW$37"),INDIRECT("'"&amp;$M$53&amp;"'!AW$38"),INDIRECT("'"&amp;$M$53&amp;"'!AW$39"),INDIRECT("'"&amp;$M$53&amp;"'!AW$40"),INDIRECT("'"&amp;$M$53&amp;"'!AW$41"),INDIRECT("'"&amp;$M$53&amp;"'!AW$42"),INDIRECT("'"&amp;$M$53&amp;"'!AW$43"),INDIRECT("'"&amp;$M$53&amp;"'!AW$44"),INDIRECT("'"&amp;$M$53&amp;"'!AW$45"),INDIRECT("'"&amp;$M$53&amp;"'!AW$46"),INDIRECT("'"&amp;$M$53&amp;"'!AW$47"),INDIRECT("'"&amp;$M$53&amp;"'!AW$48"),INDIRECT("'"&amp;$M$53&amp;"'!AW$49"),INDIRECT("'"&amp;$M$53&amp;"'!AW$50"),INDIRECT("'"&amp;$M$53&amp;"'!AW$51"),INDIRECT("'"&amp;$M$53&amp;"'!AW$52"),INDIRECT("'"&amp;$M$53&amp;"'!AW$53"),INDIRECT("'"&amp;$M$53&amp;"'!AW$54"),INDIRECT("'"&amp;$M$53&amp;"'!AW$55"),INDIRECT("'"&amp;$M$53&amp;"'!AW$56")),""),""))</f>
        <v/>
      </c>
    </row>
    <row r="58" spans="1:17" ht="9.9499999999999993" customHeight="1" x14ac:dyDescent="0.25">
      <c r="H58" s="6"/>
      <c r="J58" s="119">
        <v>0.5</v>
      </c>
      <c r="K58" s="194" t="str" cm="1">
        <f t="array" aca="1" ref="K58" ca="1">IF(OR('Project Summary'!$C$89="No",'Project Summary'!$C$89=""),"",_xlfn.IFNA(IF(OR('Project Summary'!$C$89="Yes",'Project Summary'!$C$89=""),CHOOSE(MATCH($M$27,INDIRECT("'"&amp;$M$53&amp;"'!$A$4:$A$56")),INDIRECT("'"&amp;$M$53&amp;"'!AX$4"),INDIRECT("'"&amp;$M$53&amp;"'!AX$5"),INDIRECT("'"&amp;$M$53&amp;"'!AX$6"),INDIRECT("'"&amp;$M$53&amp;"'!AX$7"),INDIRECT("'"&amp;$M$53&amp;"'!AX$8"),INDIRECT("'"&amp;$M$53&amp;"'!AX$9"),INDIRECT("'"&amp;$M$53&amp;"'!AX$10"),INDIRECT("'"&amp;$M$53&amp;"'!AX$11"),INDIRECT("'"&amp;$M$53&amp;"'!AX$12"),INDIRECT("'"&amp;$M$53&amp;"'!AX$13"),INDIRECT("'"&amp;$M$53&amp;"'!AX$14"),INDIRECT("'"&amp;$M$53&amp;"'!AX$15"),INDIRECT("'"&amp;$M$53&amp;"'!AX$16"),INDIRECT("'"&amp;$M$53&amp;"'!AX$17"),INDIRECT("'"&amp;$M$53&amp;"'!AX$18"),INDIRECT("'"&amp;$M$53&amp;"'!AX$19"),INDIRECT("'"&amp;$M$53&amp;"'!AX$20"),INDIRECT("'"&amp;$M$53&amp;"'!AX$21"),INDIRECT("'"&amp;$M$53&amp;"'!AX$22"),INDIRECT("'"&amp;$M$53&amp;"'!AX$23"),INDIRECT("'"&amp;$M$53&amp;"'!AX$24"),INDIRECT("'"&amp;$M$53&amp;"'!AX$25"),INDIRECT("'"&amp;$M$53&amp;"'!AX$26"),INDIRECT("'"&amp;$M$53&amp;"'!AX$27"),INDIRECT("'"&amp;$M$53&amp;"'!AX$28"),INDIRECT("'"&amp;$M$53&amp;"'!AX$29"),INDIRECT("'"&amp;$M$53&amp;"'!AX$30"),INDIRECT("'"&amp;$M$53&amp;"'!AX$31"),INDIRECT("'"&amp;$M$53&amp;"'!AX$32"),INDIRECT("'"&amp;$M$53&amp;"'!AX$33"),INDIRECT("'"&amp;$M$53&amp;"'!AX$34"),INDIRECT("'"&amp;$M$53&amp;"'!AX$35"),INDIRECT("'"&amp;$M$53&amp;"'!AX$36"),INDIRECT("'"&amp;$M$53&amp;"'!AX$37"),INDIRECT("'"&amp;$M$53&amp;"'!AX$38"),INDIRECT("'"&amp;$M$53&amp;"'!AX$39"),INDIRECT("'"&amp;$M$53&amp;"'!AX$40"),INDIRECT("'"&amp;$M$53&amp;"'!AX$41"),INDIRECT("'"&amp;$M$53&amp;"'!AX$42"),INDIRECT("'"&amp;$M$53&amp;"'!AX$43"),INDIRECT("'"&amp;$M$53&amp;"'!AX$44"),INDIRECT("'"&amp;$M$53&amp;"'!AX$45"),INDIRECT("'"&amp;$M$53&amp;"'!AX$46"),INDIRECT("'"&amp;$M$53&amp;"'!AX$47"),INDIRECT("'"&amp;$M$53&amp;"'!AX$48"),INDIRECT("'"&amp;$M$53&amp;"'!AX$49"),INDIRECT("'"&amp;$M$53&amp;"'!AX$50"),INDIRECT("'"&amp;$M$53&amp;"'!AX$51"),INDIRECT("'"&amp;$M$53&amp;"'!AX$52"),INDIRECT("'"&amp;$M$53&amp;"'!AX$53"),INDIRECT("'"&amp;$M$53&amp;"'!AX$54"),INDIRECT("'"&amp;$M$53&amp;"'!AX$55"),INDIRECT("'"&amp;$M$53&amp;"'!AX$56")),""),""))</f>
        <v/>
      </c>
      <c r="L58" s="194" t="str" cm="1">
        <f t="array" aca="1" ref="L58" ca="1">IF(OR('Project Summary'!$C$89="No",'Project Summary'!$C$89=""),"",_xlfn.IFNA(IF(OR('Project Summary'!$C$89="Yes",'Project Summary'!$C$89=""),CHOOSE(MATCH($M$27,INDIRECT("'"&amp;$M$53&amp;"'!$A$4:$A$56")),INDIRECT("'"&amp;$M$53&amp;"'!AY$4"),INDIRECT("'"&amp;$M$53&amp;"'!AY$5"),INDIRECT("'"&amp;$M$53&amp;"'!AY$6"),INDIRECT("'"&amp;$M$53&amp;"'!AY$7"),INDIRECT("'"&amp;$M$53&amp;"'!AY$8"),INDIRECT("'"&amp;$M$53&amp;"'!AY$9"),INDIRECT("'"&amp;$M$53&amp;"'!AY$10"),INDIRECT("'"&amp;$M$53&amp;"'!AY$11"),INDIRECT("'"&amp;$M$53&amp;"'!AY$12"),INDIRECT("'"&amp;$M$53&amp;"'!AY$13"),INDIRECT("'"&amp;$M$53&amp;"'!AY$14"),INDIRECT("'"&amp;$M$53&amp;"'!AY$15"),INDIRECT("'"&amp;$M$53&amp;"'!AY$16"),INDIRECT("'"&amp;$M$53&amp;"'!AY$17"),INDIRECT("'"&amp;$M$53&amp;"'!AY$18"),INDIRECT("'"&amp;$M$53&amp;"'!AY$19"),INDIRECT("'"&amp;$M$53&amp;"'!AY$20"),INDIRECT("'"&amp;$M$53&amp;"'!AY$21"),INDIRECT("'"&amp;$M$53&amp;"'!AY$22"),INDIRECT("'"&amp;$M$53&amp;"'!AY$23"),INDIRECT("'"&amp;$M$53&amp;"'!AY$24"),INDIRECT("'"&amp;$M$53&amp;"'!AY$25"),INDIRECT("'"&amp;$M$53&amp;"'!AY$26"),INDIRECT("'"&amp;$M$53&amp;"'!AY$27"),INDIRECT("'"&amp;$M$53&amp;"'!AY$28"),INDIRECT("'"&amp;$M$53&amp;"'!AY$29"),INDIRECT("'"&amp;$M$53&amp;"'!AY$30"),INDIRECT("'"&amp;$M$53&amp;"'!AY$31"),INDIRECT("'"&amp;$M$53&amp;"'!AY$32"),INDIRECT("'"&amp;$M$53&amp;"'!AY$33"),INDIRECT("'"&amp;$M$53&amp;"'!AY$34"),INDIRECT("'"&amp;$M$53&amp;"'!AY$35"),INDIRECT("'"&amp;$M$53&amp;"'!AY$36"),INDIRECT("'"&amp;$M$53&amp;"'!AY$37"),INDIRECT("'"&amp;$M$53&amp;"'!AY$38"),INDIRECT("'"&amp;$M$53&amp;"'!AY$39"),INDIRECT("'"&amp;$M$53&amp;"'!AY$40"),INDIRECT("'"&amp;$M$53&amp;"'!AY$41"),INDIRECT("'"&amp;$M$53&amp;"'!AY$42"),INDIRECT("'"&amp;$M$53&amp;"'!AY$43"),INDIRECT("'"&amp;$M$53&amp;"'!AY$44"),INDIRECT("'"&amp;$M$53&amp;"'!AY$45"),INDIRECT("'"&amp;$M$53&amp;"'!AY$46"),INDIRECT("'"&amp;$M$53&amp;"'!AY$47"),INDIRECT("'"&amp;$M$53&amp;"'!AY$48"),INDIRECT("'"&amp;$M$53&amp;"'!AY$49"),INDIRECT("'"&amp;$M$53&amp;"'!AY$50"),INDIRECT("'"&amp;$M$53&amp;"'!AY$51"),INDIRECT("'"&amp;$M$53&amp;"'!AY$52"),INDIRECT("'"&amp;$M$53&amp;"'!AY$53"),INDIRECT("'"&amp;$M$53&amp;"'!AY$54"),INDIRECT("'"&amp;$M$53&amp;"'!AY$55"),INDIRECT("'"&amp;$M$53&amp;"'!AY$56")),""),""))</f>
        <v/>
      </c>
      <c r="M58" s="194" t="str" cm="1">
        <f t="array" aca="1" ref="M58" ca="1">IF(OR('Project Summary'!$C$89="No",'Project Summary'!$C$89=""),"",_xlfn.IFNA(IF(OR('Project Summary'!$C$89="Yes",'Project Summary'!$C$89=""),CHOOSE(MATCH($M$27,INDIRECT("'"&amp;$M$53&amp;"'!$A$4:$A$56")),INDIRECT("'"&amp;$M$53&amp;"'!AZ$4"),INDIRECT("'"&amp;$M$53&amp;"'!AZ$5"),INDIRECT("'"&amp;$M$53&amp;"'!AZ$6"),INDIRECT("'"&amp;$M$53&amp;"'!AZ$7"),INDIRECT("'"&amp;$M$53&amp;"'!AZ$8"),INDIRECT("'"&amp;$M$53&amp;"'!AZ$9"),INDIRECT("'"&amp;$M$53&amp;"'!AZ$10"),INDIRECT("'"&amp;$M$53&amp;"'!AZ$11"),INDIRECT("'"&amp;$M$53&amp;"'!AZ$12"),INDIRECT("'"&amp;$M$53&amp;"'!AZ$13"),INDIRECT("'"&amp;$M$53&amp;"'!AZ$14"),INDIRECT("'"&amp;$M$53&amp;"'!AZ$15"),INDIRECT("'"&amp;$M$53&amp;"'!AZ$16"),INDIRECT("'"&amp;$M$53&amp;"'!AZ$17"),INDIRECT("'"&amp;$M$53&amp;"'!AZ$18"),INDIRECT("'"&amp;$M$53&amp;"'!AZ$19"),INDIRECT("'"&amp;$M$53&amp;"'!AZ$20"),INDIRECT("'"&amp;$M$53&amp;"'!AZ$21"),INDIRECT("'"&amp;$M$53&amp;"'!AZ$22"),INDIRECT("'"&amp;$M$53&amp;"'!AZ$23"),INDIRECT("'"&amp;$M$53&amp;"'!AZ$24"),INDIRECT("'"&amp;$M$53&amp;"'!AZ$25"),INDIRECT("'"&amp;$M$53&amp;"'!AZ$26"),INDIRECT("'"&amp;$M$53&amp;"'!AZ$27"),INDIRECT("'"&amp;$M$53&amp;"'!AZ$28"),INDIRECT("'"&amp;$M$53&amp;"'!AZ$29"),INDIRECT("'"&amp;$M$53&amp;"'!AZ$30"),INDIRECT("'"&amp;$M$53&amp;"'!AZ$31"),INDIRECT("'"&amp;$M$53&amp;"'!AZ$32"),INDIRECT("'"&amp;$M$53&amp;"'!AZ$33"),INDIRECT("'"&amp;$M$53&amp;"'!AZ$34"),INDIRECT("'"&amp;$M$53&amp;"'!AZ$35"),INDIRECT("'"&amp;$M$53&amp;"'!AZ$36"),INDIRECT("'"&amp;$M$53&amp;"'!AZ$37"),INDIRECT("'"&amp;$M$53&amp;"'!AZ$38"),INDIRECT("'"&amp;$M$53&amp;"'!AZ$39"),INDIRECT("'"&amp;$M$53&amp;"'!AZ$40"),INDIRECT("'"&amp;$M$53&amp;"'!AZ$41"),INDIRECT("'"&amp;$M$53&amp;"'!AZ$42"),INDIRECT("'"&amp;$M$53&amp;"'!AZ$43"),INDIRECT("'"&amp;$M$53&amp;"'!AZ$44"),INDIRECT("'"&amp;$M$53&amp;"'!AZ$45"),INDIRECT("'"&amp;$M$53&amp;"'!AZ$46"),INDIRECT("'"&amp;$M$53&amp;"'!AZ$47"),INDIRECT("'"&amp;$M$53&amp;"'!AZ$48"),INDIRECT("'"&amp;$M$53&amp;"'!AZ$49"),INDIRECT("'"&amp;$M$53&amp;"'!AZ$50"),INDIRECT("'"&amp;$M$53&amp;"'!AZ$51"),INDIRECT("'"&amp;$M$53&amp;"'!AZ$52"),INDIRECT("'"&amp;$M$53&amp;"'!AZ$53"),INDIRECT("'"&amp;$M$53&amp;"'!AZ$54"),INDIRECT("'"&amp;$M$53&amp;"'!AZ$55"),INDIRECT("'"&amp;$M$53&amp;"'!AZ$56")),""),""))</f>
        <v/>
      </c>
      <c r="N58" s="194" t="str" cm="1">
        <f t="array" aca="1" ref="N58" ca="1">IF(OR('Project Summary'!$C$89="No",'Project Summary'!$C$89=""),"",_xlfn.IFNA(IF(OR('Project Summary'!$C$89="Yes",'Project Summary'!$C$89=""),CHOOSE(MATCH($M$27,INDIRECT("'"&amp;$M$53&amp;"'!$A$4:$A$56")),INDIRECT("'"&amp;$M$53&amp;"'!BA$4"),INDIRECT("'"&amp;$M$53&amp;"'!BA$5"),INDIRECT("'"&amp;$M$53&amp;"'!BA$6"),INDIRECT("'"&amp;$M$53&amp;"'!BA$7"),INDIRECT("'"&amp;$M$53&amp;"'!BA$8"),INDIRECT("'"&amp;$M$53&amp;"'!BA$9"),INDIRECT("'"&amp;$M$53&amp;"'!BA$10"),INDIRECT("'"&amp;$M$53&amp;"'!BA$11"),INDIRECT("'"&amp;$M$53&amp;"'!BA$12"),INDIRECT("'"&amp;$M$53&amp;"'!BA$13"),INDIRECT("'"&amp;$M$53&amp;"'!BA$14"),INDIRECT("'"&amp;$M$53&amp;"'!BA$15"),INDIRECT("'"&amp;$M$53&amp;"'!BA$16"),INDIRECT("'"&amp;$M$53&amp;"'!BA$17"),INDIRECT("'"&amp;$M$53&amp;"'!BA$18"),INDIRECT("'"&amp;$M$53&amp;"'!BA$19"),INDIRECT("'"&amp;$M$53&amp;"'!BA$20"),INDIRECT("'"&amp;$M$53&amp;"'!BA$21"),INDIRECT("'"&amp;$M$53&amp;"'!BA$22"),INDIRECT("'"&amp;$M$53&amp;"'!BA$23"),INDIRECT("'"&amp;$M$53&amp;"'!BA$24"),INDIRECT("'"&amp;$M$53&amp;"'!BA$25"),INDIRECT("'"&amp;$M$53&amp;"'!BA$26"),INDIRECT("'"&amp;$M$53&amp;"'!BA$27"),INDIRECT("'"&amp;$M$53&amp;"'!BA$28"),INDIRECT("'"&amp;$M$53&amp;"'!BA$29"),INDIRECT("'"&amp;$M$53&amp;"'!BA$30"),INDIRECT("'"&amp;$M$53&amp;"'!BA$31"),INDIRECT("'"&amp;$M$53&amp;"'!BA$32"),INDIRECT("'"&amp;$M$53&amp;"'!BA$33"),INDIRECT("'"&amp;$M$53&amp;"'!BA$34"),INDIRECT("'"&amp;$M$53&amp;"'!BA$35"),INDIRECT("'"&amp;$M$53&amp;"'!BA$36"),INDIRECT("'"&amp;$M$53&amp;"'!BA$37"),INDIRECT("'"&amp;$M$53&amp;"'!BA$38"),INDIRECT("'"&amp;$M$53&amp;"'!BA$39"),INDIRECT("'"&amp;$M$53&amp;"'!BA$40"),INDIRECT("'"&amp;$M$53&amp;"'!BA$41"),INDIRECT("'"&amp;$M$53&amp;"'!BA$42"),INDIRECT("'"&amp;$M$53&amp;"'!BA$43"),INDIRECT("'"&amp;$M$53&amp;"'!BA$44"),INDIRECT("'"&amp;$M$53&amp;"'!BA$45"),INDIRECT("'"&amp;$M$53&amp;"'!BA$46"),INDIRECT("'"&amp;$M$53&amp;"'!BA$47"),INDIRECT("'"&amp;$M$53&amp;"'!BA$48"),INDIRECT("'"&amp;$M$53&amp;"'!BA$49"),INDIRECT("'"&amp;$M$53&amp;"'!BA$50"),INDIRECT("'"&amp;$M$53&amp;"'!BA$51"),INDIRECT("'"&amp;$M$53&amp;"'!BA$52"),INDIRECT("'"&amp;$M$53&amp;"'!BA$53"),INDIRECT("'"&amp;$M$53&amp;"'!BA$54"),INDIRECT("'"&amp;$M$53&amp;"'!BA$55"),INDIRECT("'"&amp;$M$53&amp;"'!BA$56")),""),""))</f>
        <v/>
      </c>
      <c r="O58" s="194" t="str" cm="1">
        <f t="array" aca="1" ref="O58" ca="1">IF(OR('Project Summary'!$C$89="No",'Project Summary'!$C$89=""),"",_xlfn.IFNA(IF(OR('Project Summary'!$C$89="Yes",'Project Summary'!$C$89=""),CHOOSE(MATCH($M$27,INDIRECT("'"&amp;$M$53&amp;"'!$A$4:$A$56")),INDIRECT("'"&amp;$M$53&amp;"'!BB$4"),INDIRECT("'"&amp;$M$53&amp;"'!BB$5"),INDIRECT("'"&amp;$M$53&amp;"'!BB$6"),INDIRECT("'"&amp;$M$53&amp;"'!BB$7"),INDIRECT("'"&amp;$M$53&amp;"'!BB$8"),INDIRECT("'"&amp;$M$53&amp;"'!BB$9"),INDIRECT("'"&amp;$M$53&amp;"'!BB$10"),INDIRECT("'"&amp;$M$53&amp;"'!BB$11"),INDIRECT("'"&amp;$M$53&amp;"'!BB$12"),INDIRECT("'"&amp;$M$53&amp;"'!BB$13"),INDIRECT("'"&amp;$M$53&amp;"'!BB$14"),INDIRECT("'"&amp;$M$53&amp;"'!BB$15"),INDIRECT("'"&amp;$M$53&amp;"'!BB$16"),INDIRECT("'"&amp;$M$53&amp;"'!BB$17"),INDIRECT("'"&amp;$M$53&amp;"'!BB$18"),INDIRECT("'"&amp;$M$53&amp;"'!BB$19"),INDIRECT("'"&amp;$M$53&amp;"'!BB$20"),INDIRECT("'"&amp;$M$53&amp;"'!BB$21"),INDIRECT("'"&amp;$M$53&amp;"'!BB$22"),INDIRECT("'"&amp;$M$53&amp;"'!BB$23"),INDIRECT("'"&amp;$M$53&amp;"'!BB$24"),INDIRECT("'"&amp;$M$53&amp;"'!BB$25"),INDIRECT("'"&amp;$M$53&amp;"'!BB$26"),INDIRECT("'"&amp;$M$53&amp;"'!BB$27"),INDIRECT("'"&amp;$M$53&amp;"'!BB$28"),INDIRECT("'"&amp;$M$53&amp;"'!BB$29"),INDIRECT("'"&amp;$M$53&amp;"'!BB$30"),INDIRECT("'"&amp;$M$53&amp;"'!BB$31"),INDIRECT("'"&amp;$M$53&amp;"'!BB$32"),INDIRECT("'"&amp;$M$53&amp;"'!BB$33"),INDIRECT("'"&amp;$M$53&amp;"'!BB$34"),INDIRECT("'"&amp;$M$53&amp;"'!BB$35"),INDIRECT("'"&amp;$M$53&amp;"'!BB$36"),INDIRECT("'"&amp;$M$53&amp;"'!BB$37"),INDIRECT("'"&amp;$M$53&amp;"'!BB$38"),INDIRECT("'"&amp;$M$53&amp;"'!BB$39"),INDIRECT("'"&amp;$M$53&amp;"'!BB$40"),INDIRECT("'"&amp;$M$53&amp;"'!BB$41"),INDIRECT("'"&amp;$M$53&amp;"'!BB$42"),INDIRECT("'"&amp;$M$53&amp;"'!BB$43"),INDIRECT("'"&amp;$M$53&amp;"'!BB$44"),INDIRECT("'"&amp;$M$53&amp;"'!BB$45"),INDIRECT("'"&amp;$M$53&amp;"'!BB$46"),INDIRECT("'"&amp;$M$53&amp;"'!BB$47"),INDIRECT("'"&amp;$M$53&amp;"'!BB$48"),INDIRECT("'"&amp;$M$53&amp;"'!BB$49"),INDIRECT("'"&amp;$M$53&amp;"'!BB$50"),INDIRECT("'"&amp;$M$53&amp;"'!BB$51"),INDIRECT("'"&amp;$M$53&amp;"'!BB$52"),INDIRECT("'"&amp;$M$53&amp;"'!BB$53"),INDIRECT("'"&amp;$M$53&amp;"'!BB$54"),INDIRECT("'"&amp;$M$53&amp;"'!BB$55"),INDIRECT("'"&amp;$M$53&amp;"'!BB$56")),""),""))</f>
        <v/>
      </c>
    </row>
    <row r="59" spans="1:17" ht="9.9499999999999993" customHeight="1" x14ac:dyDescent="0.25">
      <c r="H59" s="6"/>
      <c r="J59" s="119">
        <v>0.8</v>
      </c>
      <c r="K59" s="194" t="str" cm="1">
        <f t="array" aca="1" ref="K59" ca="1">IF(OR('Project Summary'!$C$89="No",'Project Summary'!$C$89=""),"",_xlfn.IFNA(IF(OR('Project Summary'!$C$89="Yes",'Project Summary'!$C$89=""),CHOOSE(MATCH($M$27,INDIRECT("'"&amp;$M$53&amp;"'!$A$4:$A$56")),INDIRECT("'"&amp;$M$53&amp;"'!BC$4"),INDIRECT("'"&amp;$M$53&amp;"'!BC$5"),INDIRECT("'"&amp;$M$53&amp;"'!BC$6"),INDIRECT("'"&amp;$M$53&amp;"'!BC$7"),INDIRECT("'"&amp;$M$53&amp;"'!BC$8"),INDIRECT("'"&amp;$M$53&amp;"'!BC$9"),INDIRECT("'"&amp;$M$53&amp;"'!BC$10"),INDIRECT("'"&amp;$M$53&amp;"'!BC$11"),INDIRECT("'"&amp;$M$53&amp;"'!BC$12"),INDIRECT("'"&amp;$M$53&amp;"'!BC$13"),INDIRECT("'"&amp;$M$53&amp;"'!BC$14"),INDIRECT("'"&amp;$M$53&amp;"'!BC$15"),INDIRECT("'"&amp;$M$53&amp;"'!BC$16"),INDIRECT("'"&amp;$M$53&amp;"'!BC$17"),INDIRECT("'"&amp;$M$53&amp;"'!BC$18"),INDIRECT("'"&amp;$M$53&amp;"'!BC$19"),INDIRECT("'"&amp;$M$53&amp;"'!BC$20"),INDIRECT("'"&amp;$M$53&amp;"'!BC$21"),INDIRECT("'"&amp;$M$53&amp;"'!BC$22"),INDIRECT("'"&amp;$M$53&amp;"'!BC$23"),INDIRECT("'"&amp;$M$53&amp;"'!BC$24"),INDIRECT("'"&amp;$M$53&amp;"'!BC$25"),INDIRECT("'"&amp;$M$53&amp;"'!BC$26"),INDIRECT("'"&amp;$M$53&amp;"'!BC$27"),INDIRECT("'"&amp;$M$53&amp;"'!BC$28"),INDIRECT("'"&amp;$M$53&amp;"'!BC$29"),INDIRECT("'"&amp;$M$53&amp;"'!BC$30"),INDIRECT("'"&amp;$M$53&amp;"'!BC$31"),INDIRECT("'"&amp;$M$53&amp;"'!BC$32"),INDIRECT("'"&amp;$M$53&amp;"'!BC$33"),INDIRECT("'"&amp;$M$53&amp;"'!BC$34"),INDIRECT("'"&amp;$M$53&amp;"'!BC$35"),INDIRECT("'"&amp;$M$53&amp;"'!BC$36"),INDIRECT("'"&amp;$M$53&amp;"'!BC$37"),INDIRECT("'"&amp;$M$53&amp;"'!BC$38"),INDIRECT("'"&amp;$M$53&amp;"'!BC$39"),INDIRECT("'"&amp;$M$53&amp;"'!BC$40"),INDIRECT("'"&amp;$M$53&amp;"'!BC$41"),INDIRECT("'"&amp;$M$53&amp;"'!BC$42"),INDIRECT("'"&amp;$M$53&amp;"'!BC$43"),INDIRECT("'"&amp;$M$53&amp;"'!BC$44"),INDIRECT("'"&amp;$M$53&amp;"'!BC$45"),INDIRECT("'"&amp;$M$53&amp;"'!BC$46"),INDIRECT("'"&amp;$M$53&amp;"'!BC$47"),INDIRECT("'"&amp;$M$53&amp;"'!BC$48"),INDIRECT("'"&amp;$M$53&amp;"'!BC$49"),INDIRECT("'"&amp;$M$53&amp;"'!BC$50"),INDIRECT("'"&amp;$M$53&amp;"'!BC$51"),INDIRECT("'"&amp;$M$53&amp;"'!BC$52"),INDIRECT("'"&amp;$M$53&amp;"'!BC$53"),INDIRECT("'"&amp;$M$53&amp;"'!BC$54"),INDIRECT("'"&amp;$M$53&amp;"'!BC$55"),INDIRECT("'"&amp;$M$53&amp;"'!BC$56")),""),""))</f>
        <v/>
      </c>
      <c r="L59" s="194" t="str" cm="1">
        <f t="array" aca="1" ref="L59" ca="1">IF(OR('Project Summary'!$C$89="No",'Project Summary'!$C$89=""),"",_xlfn.IFNA(IF(OR('Project Summary'!$C$89="Yes",'Project Summary'!$C$89=""),CHOOSE(MATCH($M$27,INDIRECT("'"&amp;$M$53&amp;"'!$A$4:$A$56")),INDIRECT("'"&amp;$M$53&amp;"'!BD$4"),INDIRECT("'"&amp;$M$53&amp;"'!BD$5"),INDIRECT("'"&amp;$M$53&amp;"'!BD$6"),INDIRECT("'"&amp;$M$53&amp;"'!BD$7"),INDIRECT("'"&amp;$M$53&amp;"'!BD$8"),INDIRECT("'"&amp;$M$53&amp;"'!BD$9"),INDIRECT("'"&amp;$M$53&amp;"'!BD$10"),INDIRECT("'"&amp;$M$53&amp;"'!BD$11"),INDIRECT("'"&amp;$M$53&amp;"'!BD$12"),INDIRECT("'"&amp;$M$53&amp;"'!BD$13"),INDIRECT("'"&amp;$M$53&amp;"'!BD$14"),INDIRECT("'"&amp;$M$53&amp;"'!BD$15"),INDIRECT("'"&amp;$M$53&amp;"'!BD$16"),INDIRECT("'"&amp;$M$53&amp;"'!BD$17"),INDIRECT("'"&amp;$M$53&amp;"'!BD$18"),INDIRECT("'"&amp;$M$53&amp;"'!BD$19"),INDIRECT("'"&amp;$M$53&amp;"'!BD$20"),INDIRECT("'"&amp;$M$53&amp;"'!BD$21"),INDIRECT("'"&amp;$M$53&amp;"'!BD$22"),INDIRECT("'"&amp;$M$53&amp;"'!BD$23"),INDIRECT("'"&amp;$M$53&amp;"'!BD$24"),INDIRECT("'"&amp;$M$53&amp;"'!BD$25"),INDIRECT("'"&amp;$M$53&amp;"'!BD$26"),INDIRECT("'"&amp;$M$53&amp;"'!BD$27"),INDIRECT("'"&amp;$M$53&amp;"'!BD$28"),INDIRECT("'"&amp;$M$53&amp;"'!BD$29"),INDIRECT("'"&amp;$M$53&amp;"'!BD$30"),INDIRECT("'"&amp;$M$53&amp;"'!BD$31"),INDIRECT("'"&amp;$M$53&amp;"'!BD$32"),INDIRECT("'"&amp;$M$53&amp;"'!BD$33"),INDIRECT("'"&amp;$M$53&amp;"'!BD$34"),INDIRECT("'"&amp;$M$53&amp;"'!BD$35"),INDIRECT("'"&amp;$M$53&amp;"'!BD$36"),INDIRECT("'"&amp;$M$53&amp;"'!BD$37"),INDIRECT("'"&amp;$M$53&amp;"'!BD$38"),INDIRECT("'"&amp;$M$53&amp;"'!BD$39"),INDIRECT("'"&amp;$M$53&amp;"'!BD$40"),INDIRECT("'"&amp;$M$53&amp;"'!BD$41"),INDIRECT("'"&amp;$M$53&amp;"'!BD$42"),INDIRECT("'"&amp;$M$53&amp;"'!BD$43"),INDIRECT("'"&amp;$M$53&amp;"'!BD$44"),INDIRECT("'"&amp;$M$53&amp;"'!BD$45"),INDIRECT("'"&amp;$M$53&amp;"'!BD$46"),INDIRECT("'"&amp;$M$53&amp;"'!BD$47"),INDIRECT("'"&amp;$M$53&amp;"'!BD$48"),INDIRECT("'"&amp;$M$53&amp;"'!BD$49"),INDIRECT("'"&amp;$M$53&amp;"'!BD$50"),INDIRECT("'"&amp;$M$53&amp;"'!BD$51"),INDIRECT("'"&amp;$M$53&amp;"'!BD$52"),INDIRECT("'"&amp;$M$53&amp;"'!BD$53"),INDIRECT("'"&amp;$M$53&amp;"'!BD$54"),INDIRECT("'"&amp;$M$53&amp;"'!BD$55"),INDIRECT("'"&amp;$M$53&amp;"'!BD$56")),""),""))</f>
        <v/>
      </c>
      <c r="M59" s="194" t="str" cm="1">
        <f t="array" aca="1" ref="M59" ca="1">IF(OR('Project Summary'!$C$89="No",'Project Summary'!$C$89=""),"",_xlfn.IFNA(IF(OR('Project Summary'!$C$89="Yes",'Project Summary'!$C$89=""),CHOOSE(MATCH($M$27,INDIRECT("'"&amp;$M$53&amp;"'!$A$4:$A$56")),INDIRECT("'"&amp;$M$53&amp;"'!BE$4"),INDIRECT("'"&amp;$M$53&amp;"'!BE$5"),INDIRECT("'"&amp;$M$53&amp;"'!BE$6"),INDIRECT("'"&amp;$M$53&amp;"'!BE$7"),INDIRECT("'"&amp;$M$53&amp;"'!BE$8"),INDIRECT("'"&amp;$M$53&amp;"'!BE$9"),INDIRECT("'"&amp;$M$53&amp;"'!BE$10"),INDIRECT("'"&amp;$M$53&amp;"'!BE$11"),INDIRECT("'"&amp;$M$53&amp;"'!BE$12"),INDIRECT("'"&amp;$M$53&amp;"'!BE$13"),INDIRECT("'"&amp;$M$53&amp;"'!BE$14"),INDIRECT("'"&amp;$M$53&amp;"'!BE$15"),INDIRECT("'"&amp;$M$53&amp;"'!BE$16"),INDIRECT("'"&amp;$M$53&amp;"'!BE$17"),INDIRECT("'"&amp;$M$53&amp;"'!BE$18"),INDIRECT("'"&amp;$M$53&amp;"'!BE$19"),INDIRECT("'"&amp;$M$53&amp;"'!BE$20"),INDIRECT("'"&amp;$M$53&amp;"'!BE$21"),INDIRECT("'"&amp;$M$53&amp;"'!BE$22"),INDIRECT("'"&amp;$M$53&amp;"'!BE$23"),INDIRECT("'"&amp;$M$53&amp;"'!BE$24"),INDIRECT("'"&amp;$M$53&amp;"'!BE$25"),INDIRECT("'"&amp;$M$53&amp;"'!BE$26"),INDIRECT("'"&amp;$M$53&amp;"'!BE$27"),INDIRECT("'"&amp;$M$53&amp;"'!BE$28"),INDIRECT("'"&amp;$M$53&amp;"'!BE$29"),INDIRECT("'"&amp;$M$53&amp;"'!BE$30"),INDIRECT("'"&amp;$M$53&amp;"'!BE$31"),INDIRECT("'"&amp;$M$53&amp;"'!BE$32"),INDIRECT("'"&amp;$M$53&amp;"'!BE$33"),INDIRECT("'"&amp;$M$53&amp;"'!BE$34"),INDIRECT("'"&amp;$M$53&amp;"'!BE$35"),INDIRECT("'"&amp;$M$53&amp;"'!BE$36"),INDIRECT("'"&amp;$M$53&amp;"'!BE$37"),INDIRECT("'"&amp;$M$53&amp;"'!BE$38"),INDIRECT("'"&amp;$M$53&amp;"'!BE$39"),INDIRECT("'"&amp;$M$53&amp;"'!BE$40"),INDIRECT("'"&amp;$M$53&amp;"'!BE$41"),INDIRECT("'"&amp;$M$53&amp;"'!BE$42"),INDIRECT("'"&amp;$M$53&amp;"'!BE$43"),INDIRECT("'"&amp;$M$53&amp;"'!BE$44"),INDIRECT("'"&amp;$M$53&amp;"'!BE$45"),INDIRECT("'"&amp;$M$53&amp;"'!BE$46"),INDIRECT("'"&amp;$M$53&amp;"'!BE$47"),INDIRECT("'"&amp;$M$53&amp;"'!BE$48"),INDIRECT("'"&amp;$M$53&amp;"'!BE$49"),INDIRECT("'"&amp;$M$53&amp;"'!BE$50"),INDIRECT("'"&amp;$M$53&amp;"'!BE$51"),INDIRECT("'"&amp;$M$53&amp;"'!BE$52"),INDIRECT("'"&amp;$M$53&amp;"'!BE$53"),INDIRECT("'"&amp;$M$53&amp;"'!BE$54"),INDIRECT("'"&amp;$M$53&amp;"'!BE$55"),INDIRECT("'"&amp;$M$53&amp;"'!BE$56")),""),""))</f>
        <v/>
      </c>
      <c r="N59" s="194" t="str" cm="1">
        <f t="array" aca="1" ref="N59" ca="1">IF(OR('Project Summary'!$C$89="No",'Project Summary'!$C$89=""),"",_xlfn.IFNA(IF(OR('Project Summary'!$C$89="Yes",'Project Summary'!$C$89=""),CHOOSE(MATCH($M$27,INDIRECT("'"&amp;$M$53&amp;"'!$A$4:$A$56")),INDIRECT("'"&amp;$M$53&amp;"'!BF$4"),INDIRECT("'"&amp;$M$53&amp;"'!BF$5"),INDIRECT("'"&amp;$M$53&amp;"'!BF$6"),INDIRECT("'"&amp;$M$53&amp;"'!BF$7"),INDIRECT("'"&amp;$M$53&amp;"'!BF$8"),INDIRECT("'"&amp;$M$53&amp;"'!BF$9"),INDIRECT("'"&amp;$M$53&amp;"'!BF$10"),INDIRECT("'"&amp;$M$53&amp;"'!BF$11"),INDIRECT("'"&amp;$M$53&amp;"'!BF$12"),INDIRECT("'"&amp;$M$53&amp;"'!BF$13"),INDIRECT("'"&amp;$M$53&amp;"'!BF$14"),INDIRECT("'"&amp;$M$53&amp;"'!BF$15"),INDIRECT("'"&amp;$M$53&amp;"'!BF$16"),INDIRECT("'"&amp;$M$53&amp;"'!BF$17"),INDIRECT("'"&amp;$M$53&amp;"'!BF$18"),INDIRECT("'"&amp;$M$53&amp;"'!BF$19"),INDIRECT("'"&amp;$M$53&amp;"'!BF$20"),INDIRECT("'"&amp;$M$53&amp;"'!BF$21"),INDIRECT("'"&amp;$M$53&amp;"'!BF$22"),INDIRECT("'"&amp;$M$53&amp;"'!BF$23"),INDIRECT("'"&amp;$M$53&amp;"'!BF$24"),INDIRECT("'"&amp;$M$53&amp;"'!BF$25"),INDIRECT("'"&amp;$M$53&amp;"'!BF$26"),INDIRECT("'"&amp;$M$53&amp;"'!BF$27"),INDIRECT("'"&amp;$M$53&amp;"'!BF$28"),INDIRECT("'"&amp;$M$53&amp;"'!BF$29"),INDIRECT("'"&amp;$M$53&amp;"'!BF$30"),INDIRECT("'"&amp;$M$53&amp;"'!BF$31"),INDIRECT("'"&amp;$M$53&amp;"'!BF$32"),INDIRECT("'"&amp;$M$53&amp;"'!BF$33"),INDIRECT("'"&amp;$M$53&amp;"'!BF$34"),INDIRECT("'"&amp;$M$53&amp;"'!BF$35"),INDIRECT("'"&amp;$M$53&amp;"'!BF$36"),INDIRECT("'"&amp;$M$53&amp;"'!BF$37"),INDIRECT("'"&amp;$M$53&amp;"'!BF$38"),INDIRECT("'"&amp;$M$53&amp;"'!BF$39"),INDIRECT("'"&amp;$M$53&amp;"'!BF$40"),INDIRECT("'"&amp;$M$53&amp;"'!BF$41"),INDIRECT("'"&amp;$M$53&amp;"'!BF$42"),INDIRECT("'"&amp;$M$53&amp;"'!BF$43"),INDIRECT("'"&amp;$M$53&amp;"'!BF$44"),INDIRECT("'"&amp;$M$53&amp;"'!BF$45"),INDIRECT("'"&amp;$M$53&amp;"'!BF$46"),INDIRECT("'"&amp;$M$53&amp;"'!BF$47"),INDIRECT("'"&amp;$M$53&amp;"'!BF$48"),INDIRECT("'"&amp;$M$53&amp;"'!BF$49"),INDIRECT("'"&amp;$M$53&amp;"'!BF$50"),INDIRECT("'"&amp;$M$53&amp;"'!BF$51"),INDIRECT("'"&amp;$M$53&amp;"'!BF$52"),INDIRECT("'"&amp;$M$53&amp;"'!BF$53"),INDIRECT("'"&amp;$M$53&amp;"'!BF$54"),INDIRECT("'"&amp;$M$53&amp;"'!BF$55"),INDIRECT("'"&amp;$M$53&amp;"'!BF$56")),""),""))</f>
        <v/>
      </c>
      <c r="O59" s="194" t="str" cm="1">
        <f t="array" aca="1" ref="O59" ca="1">IF(OR('Project Summary'!$C$89="No",'Project Summary'!$C$89=""),"",_xlfn.IFNA(IF(OR('Project Summary'!$C$89="Yes",'Project Summary'!$C$89=""),CHOOSE(MATCH($M$27,INDIRECT("'"&amp;$M$53&amp;"'!$A$4:$A$56")),INDIRECT("'"&amp;$M$53&amp;"'!BG$4"),INDIRECT("'"&amp;$M$53&amp;"'!BG$5"),INDIRECT("'"&amp;$M$53&amp;"'!BG$6"),INDIRECT("'"&amp;$M$53&amp;"'!BG$7"),INDIRECT("'"&amp;$M$53&amp;"'!BG$8"),INDIRECT("'"&amp;$M$53&amp;"'!BG$9"),INDIRECT("'"&amp;$M$53&amp;"'!BG$10"),INDIRECT("'"&amp;$M$53&amp;"'!BG$11"),INDIRECT("'"&amp;$M$53&amp;"'!BG$12"),INDIRECT("'"&amp;$M$53&amp;"'!BG$13"),INDIRECT("'"&amp;$M$53&amp;"'!BG$14"),INDIRECT("'"&amp;$M$53&amp;"'!BG$15"),INDIRECT("'"&amp;$M$53&amp;"'!BG$16"),INDIRECT("'"&amp;$M$53&amp;"'!BG$17"),INDIRECT("'"&amp;$M$53&amp;"'!BG$18"),INDIRECT("'"&amp;$M$53&amp;"'!BG$19"),INDIRECT("'"&amp;$M$53&amp;"'!BG$20"),INDIRECT("'"&amp;$M$53&amp;"'!BG$21"),INDIRECT("'"&amp;$M$53&amp;"'!BG$22"),INDIRECT("'"&amp;$M$53&amp;"'!BG$23"),INDIRECT("'"&amp;$M$53&amp;"'!BG$24"),INDIRECT("'"&amp;$M$53&amp;"'!BG$25"),INDIRECT("'"&amp;$M$53&amp;"'!BG$26"),INDIRECT("'"&amp;$M$53&amp;"'!BG$27"),INDIRECT("'"&amp;$M$53&amp;"'!BG$28"),INDIRECT("'"&amp;$M$53&amp;"'!BG$29"),INDIRECT("'"&amp;$M$53&amp;"'!BG$30"),INDIRECT("'"&amp;$M$53&amp;"'!BG$31"),INDIRECT("'"&amp;$M$53&amp;"'!BG$32"),INDIRECT("'"&amp;$M$53&amp;"'!BG$33"),INDIRECT("'"&amp;$M$53&amp;"'!BG$34"),INDIRECT("'"&amp;$M$53&amp;"'!BG$35"),INDIRECT("'"&amp;$M$53&amp;"'!BG$36"),INDIRECT("'"&amp;$M$53&amp;"'!BG$37"),INDIRECT("'"&amp;$M$53&amp;"'!BG$38"),INDIRECT("'"&amp;$M$53&amp;"'!BG$39"),INDIRECT("'"&amp;$M$53&amp;"'!BG$40"),INDIRECT("'"&amp;$M$53&amp;"'!BG$41"),INDIRECT("'"&amp;$M$53&amp;"'!BG$42"),INDIRECT("'"&amp;$M$53&amp;"'!BG$43"),INDIRECT("'"&amp;$M$53&amp;"'!BG$44"),INDIRECT("'"&amp;$M$53&amp;"'!BG$45"),INDIRECT("'"&amp;$M$53&amp;"'!BG$46"),INDIRECT("'"&amp;$M$53&amp;"'!BG$47"),INDIRECT("'"&amp;$M$53&amp;"'!BG$48"),INDIRECT("'"&amp;$M$53&amp;"'!BG$49"),INDIRECT("'"&amp;$M$53&amp;"'!BG$50"),INDIRECT("'"&amp;$M$53&amp;"'!BG$51"),INDIRECT("'"&amp;$M$53&amp;"'!BG$52"),INDIRECT("'"&amp;$M$53&amp;"'!BG$53"),INDIRECT("'"&amp;$M$53&amp;"'!BG$54"),INDIRECT("'"&amp;$M$53&amp;"'!BG$55"),INDIRECT("'"&amp;$M$53&amp;"'!BG$56")),""),""))</f>
        <v/>
      </c>
    </row>
    <row r="60" spans="1:17" ht="15.75" x14ac:dyDescent="0.25">
      <c r="A60" s="903" t="s">
        <v>178</v>
      </c>
      <c r="B60" s="903"/>
      <c r="C60" s="903"/>
      <c r="D60" s="903"/>
      <c r="E60" s="903"/>
      <c r="F60" s="903"/>
      <c r="G60" s="903"/>
      <c r="H60" s="903"/>
    </row>
    <row r="61" spans="1:17" ht="15.75" x14ac:dyDescent="0.25">
      <c r="A61" s="983" t="s">
        <v>179</v>
      </c>
      <c r="B61" s="793"/>
      <c r="C61" s="793"/>
      <c r="D61" s="793"/>
      <c r="E61" s="793"/>
      <c r="F61" s="793"/>
      <c r="G61" s="794"/>
      <c r="H61" s="210" t="s">
        <v>174</v>
      </c>
      <c r="K61" s="218"/>
      <c r="L61" s="218"/>
      <c r="M61" s="218"/>
      <c r="N61" s="218"/>
      <c r="O61" s="218"/>
    </row>
    <row r="62" spans="1:17" x14ac:dyDescent="0.25">
      <c r="A62" s="183"/>
      <c r="B62" s="898" t="s">
        <v>180</v>
      </c>
      <c r="C62" s="898"/>
      <c r="D62" s="898"/>
      <c r="E62" s="898"/>
      <c r="F62" s="898"/>
      <c r="G62" s="899"/>
      <c r="H62" s="3">
        <v>0</v>
      </c>
    </row>
    <row r="63" spans="1:17" x14ac:dyDescent="0.25">
      <c r="A63" s="183"/>
      <c r="B63" s="898" t="s">
        <v>181</v>
      </c>
      <c r="C63" s="898"/>
      <c r="D63" s="898"/>
      <c r="E63" s="898"/>
      <c r="F63" s="898"/>
      <c r="G63" s="899"/>
      <c r="H63" s="3">
        <v>0</v>
      </c>
    </row>
    <row r="64" spans="1:17" ht="15.75" x14ac:dyDescent="0.25">
      <c r="A64" s="183"/>
      <c r="B64" s="898" t="s">
        <v>182</v>
      </c>
      <c r="C64" s="898"/>
      <c r="D64" s="898"/>
      <c r="E64" s="898"/>
      <c r="F64" s="898"/>
      <c r="G64" s="899"/>
      <c r="H64" s="3">
        <v>0</v>
      </c>
      <c r="J64" s="218"/>
    </row>
    <row r="65" spans="1:8" x14ac:dyDescent="0.25">
      <c r="A65" s="183"/>
      <c r="B65" s="898" t="s">
        <v>183</v>
      </c>
      <c r="C65" s="898"/>
      <c r="D65" s="898"/>
      <c r="E65" s="898"/>
      <c r="F65" s="899"/>
      <c r="G65" s="11">
        <f ca="1">IFERROR((H65/'Operating Budget'!$H$57),0)</f>
        <v>0</v>
      </c>
      <c r="H65" s="3">
        <v>0</v>
      </c>
    </row>
    <row r="66" spans="1:8" x14ac:dyDescent="0.25">
      <c r="A66" s="183"/>
      <c r="B66" s="898" t="s">
        <v>184</v>
      </c>
      <c r="C66" s="898"/>
      <c r="D66" s="898"/>
      <c r="E66" s="898"/>
      <c r="F66" s="898"/>
      <c r="G66" s="899"/>
      <c r="H66" s="3">
        <v>0</v>
      </c>
    </row>
    <row r="67" spans="1:8" x14ac:dyDescent="0.25">
      <c r="A67" s="183"/>
      <c r="B67" s="898" t="s">
        <v>185</v>
      </c>
      <c r="C67" s="898"/>
      <c r="D67" s="898"/>
      <c r="E67" s="898"/>
      <c r="F67" s="898"/>
      <c r="G67" s="899"/>
      <c r="H67" s="3">
        <v>0</v>
      </c>
    </row>
    <row r="68" spans="1:8" x14ac:dyDescent="0.25">
      <c r="A68" s="183"/>
      <c r="B68" s="898" t="s">
        <v>186</v>
      </c>
      <c r="C68" s="898"/>
      <c r="D68" s="898"/>
      <c r="E68" s="898"/>
      <c r="F68" s="898"/>
      <c r="G68" s="899"/>
      <c r="H68" s="3">
        <v>0</v>
      </c>
    </row>
    <row r="69" spans="1:8" x14ac:dyDescent="0.25">
      <c r="A69" s="183"/>
      <c r="B69" s="902" t="s">
        <v>187</v>
      </c>
      <c r="C69" s="902"/>
      <c r="D69" s="902"/>
      <c r="E69" s="982"/>
      <c r="F69" s="895"/>
      <c r="G69" s="896"/>
      <c r="H69" s="3">
        <v>0</v>
      </c>
    </row>
    <row r="70" spans="1:8" x14ac:dyDescent="0.25">
      <c r="A70" s="183"/>
      <c r="B70" s="898" t="s">
        <v>187</v>
      </c>
      <c r="C70" s="898"/>
      <c r="D70" s="898"/>
      <c r="E70" s="982"/>
      <c r="F70" s="895"/>
      <c r="G70" s="896"/>
      <c r="H70" s="3">
        <v>0</v>
      </c>
    </row>
    <row r="71" spans="1:8" x14ac:dyDescent="0.25">
      <c r="A71" s="183"/>
      <c r="B71" s="909" t="s">
        <v>188</v>
      </c>
      <c r="C71" s="790"/>
      <c r="D71" s="790"/>
      <c r="E71" s="790"/>
      <c r="F71" s="790"/>
      <c r="G71" s="891"/>
      <c r="H71" s="62">
        <f>SUM(H62:H70)</f>
        <v>0</v>
      </c>
    </row>
    <row r="72" spans="1:8" x14ac:dyDescent="0.25">
      <c r="A72" s="983" t="s">
        <v>189</v>
      </c>
      <c r="B72" s="793"/>
      <c r="C72" s="793"/>
      <c r="D72" s="793"/>
      <c r="E72" s="793"/>
      <c r="F72" s="793"/>
      <c r="G72" s="793"/>
      <c r="H72" s="794"/>
    </row>
    <row r="73" spans="1:8" x14ac:dyDescent="0.25">
      <c r="A73" s="183"/>
      <c r="B73" s="898" t="s">
        <v>190</v>
      </c>
      <c r="C73" s="898"/>
      <c r="D73" s="898"/>
      <c r="E73" s="898"/>
      <c r="F73" s="898"/>
      <c r="G73" s="899"/>
      <c r="H73" s="3">
        <v>0</v>
      </c>
    </row>
    <row r="74" spans="1:8" x14ac:dyDescent="0.25">
      <c r="A74" s="183"/>
      <c r="B74" s="898" t="s">
        <v>191</v>
      </c>
      <c r="C74" s="898"/>
      <c r="D74" s="898"/>
      <c r="E74" s="898"/>
      <c r="F74" s="898"/>
      <c r="G74" s="899"/>
      <c r="H74" s="3">
        <v>0</v>
      </c>
    </row>
    <row r="75" spans="1:8" x14ac:dyDescent="0.25">
      <c r="A75" s="183"/>
      <c r="B75" s="898" t="s">
        <v>192</v>
      </c>
      <c r="C75" s="898"/>
      <c r="D75" s="898"/>
      <c r="E75" s="898"/>
      <c r="F75" s="898"/>
      <c r="G75" s="899"/>
      <c r="H75" s="8">
        <v>0</v>
      </c>
    </row>
    <row r="76" spans="1:8" x14ac:dyDescent="0.25">
      <c r="A76" s="183"/>
      <c r="B76" s="898" t="s">
        <v>193</v>
      </c>
      <c r="C76" s="898"/>
      <c r="D76" s="898"/>
      <c r="E76" s="898"/>
      <c r="F76" s="898"/>
      <c r="G76" s="899"/>
      <c r="H76" s="8">
        <v>0</v>
      </c>
    </row>
    <row r="77" spans="1:8" x14ac:dyDescent="0.25">
      <c r="A77" s="183"/>
      <c r="B77" s="898" t="s">
        <v>68</v>
      </c>
      <c r="C77" s="898"/>
      <c r="D77" s="898"/>
      <c r="E77" s="898"/>
      <c r="F77" s="898"/>
      <c r="G77" s="899"/>
      <c r="H77" s="8">
        <v>0</v>
      </c>
    </row>
    <row r="78" spans="1:8" x14ac:dyDescent="0.25">
      <c r="A78" s="183"/>
      <c r="B78" s="902" t="s">
        <v>194</v>
      </c>
      <c r="C78" s="902"/>
      <c r="D78" s="895"/>
      <c r="E78" s="895"/>
      <c r="F78" s="895"/>
      <c r="G78" s="896"/>
      <c r="H78" s="3">
        <v>0</v>
      </c>
    </row>
    <row r="79" spans="1:8" x14ac:dyDescent="0.25">
      <c r="A79" s="183"/>
      <c r="B79" s="902" t="s">
        <v>194</v>
      </c>
      <c r="C79" s="902"/>
      <c r="D79" s="895"/>
      <c r="E79" s="895"/>
      <c r="F79" s="895"/>
      <c r="G79" s="896"/>
      <c r="H79" s="3">
        <v>0</v>
      </c>
    </row>
    <row r="80" spans="1:8" x14ac:dyDescent="0.25">
      <c r="A80" s="183"/>
      <c r="B80" s="909" t="s">
        <v>195</v>
      </c>
      <c r="C80" s="790"/>
      <c r="D80" s="790"/>
      <c r="E80" s="790"/>
      <c r="F80" s="790"/>
      <c r="G80" s="891"/>
      <c r="H80" s="62">
        <f>SUM(H73:H79)</f>
        <v>0</v>
      </c>
    </row>
    <row r="81" spans="1:8" x14ac:dyDescent="0.25">
      <c r="A81" s="983" t="s">
        <v>196</v>
      </c>
      <c r="B81" s="793"/>
      <c r="C81" s="793"/>
      <c r="D81" s="793"/>
      <c r="E81" s="793"/>
      <c r="F81" s="793"/>
      <c r="G81" s="793"/>
      <c r="H81" s="794"/>
    </row>
    <row r="82" spans="1:8" x14ac:dyDescent="0.25">
      <c r="A82" s="183"/>
      <c r="B82" s="898" t="s">
        <v>197</v>
      </c>
      <c r="C82" s="898"/>
      <c r="D82" s="898"/>
      <c r="E82" s="898"/>
      <c r="F82" s="898"/>
      <c r="G82" s="899"/>
      <c r="H82" s="3">
        <v>0</v>
      </c>
    </row>
    <row r="83" spans="1:8" x14ac:dyDescent="0.25">
      <c r="A83" s="183"/>
      <c r="B83" s="898" t="s">
        <v>198</v>
      </c>
      <c r="C83" s="898"/>
      <c r="D83" s="898"/>
      <c r="E83" s="898"/>
      <c r="F83" s="898"/>
      <c r="G83" s="899"/>
      <c r="H83" s="3">
        <v>0</v>
      </c>
    </row>
    <row r="84" spans="1:8" x14ac:dyDescent="0.25">
      <c r="A84" s="183"/>
      <c r="B84" s="898" t="s">
        <v>199</v>
      </c>
      <c r="C84" s="898"/>
      <c r="D84" s="898"/>
      <c r="E84" s="898"/>
      <c r="F84" s="898"/>
      <c r="G84" s="899"/>
      <c r="H84" s="3">
        <v>0</v>
      </c>
    </row>
    <row r="85" spans="1:8" x14ac:dyDescent="0.25">
      <c r="A85" s="183"/>
      <c r="B85" s="898" t="s">
        <v>200</v>
      </c>
      <c r="C85" s="898"/>
      <c r="D85" s="898"/>
      <c r="E85" s="898"/>
      <c r="F85" s="898"/>
      <c r="G85" s="899"/>
      <c r="H85" s="3">
        <v>0</v>
      </c>
    </row>
    <row r="86" spans="1:8" x14ac:dyDescent="0.25">
      <c r="A86" s="183"/>
      <c r="B86" s="898" t="s">
        <v>201</v>
      </c>
      <c r="C86" s="898"/>
      <c r="D86" s="898"/>
      <c r="E86" s="898"/>
      <c r="F86" s="898"/>
      <c r="G86" s="899"/>
      <c r="H86" s="3">
        <v>0</v>
      </c>
    </row>
    <row r="87" spans="1:8" x14ac:dyDescent="0.25">
      <c r="A87" s="183"/>
      <c r="B87" s="898" t="s">
        <v>240</v>
      </c>
      <c r="C87" s="898"/>
      <c r="D87" s="898"/>
      <c r="E87" s="898"/>
      <c r="F87" s="898"/>
      <c r="G87" s="899"/>
      <c r="H87" s="3">
        <v>0</v>
      </c>
    </row>
    <row r="88" spans="1:8" x14ac:dyDescent="0.25">
      <c r="A88" s="183"/>
      <c r="B88" s="898" t="s">
        <v>237</v>
      </c>
      <c r="C88" s="898"/>
      <c r="D88" s="898"/>
      <c r="E88" s="898"/>
      <c r="F88" s="898"/>
      <c r="G88" s="899"/>
      <c r="H88" s="3">
        <v>0</v>
      </c>
    </row>
    <row r="89" spans="1:8" x14ac:dyDescent="0.25">
      <c r="A89" s="183"/>
      <c r="B89" s="898" t="s">
        <v>238</v>
      </c>
      <c r="C89" s="898"/>
      <c r="D89" s="898"/>
      <c r="E89" s="898"/>
      <c r="F89" s="898"/>
      <c r="G89" s="899"/>
      <c r="H89" s="3">
        <v>0</v>
      </c>
    </row>
    <row r="90" spans="1:8" x14ac:dyDescent="0.25">
      <c r="A90" s="183"/>
      <c r="B90" s="902" t="s">
        <v>239</v>
      </c>
      <c r="C90" s="902"/>
      <c r="D90" s="895"/>
      <c r="E90" s="895"/>
      <c r="F90" s="895"/>
      <c r="G90" s="896"/>
      <c r="H90" s="3">
        <v>0</v>
      </c>
    </row>
    <row r="91" spans="1:8" x14ac:dyDescent="0.25">
      <c r="A91" s="183"/>
      <c r="B91" s="902" t="s">
        <v>239</v>
      </c>
      <c r="C91" s="902"/>
      <c r="D91" s="895"/>
      <c r="E91" s="895"/>
      <c r="F91" s="895"/>
      <c r="G91" s="896"/>
      <c r="H91" s="3">
        <v>0</v>
      </c>
    </row>
    <row r="92" spans="1:8" x14ac:dyDescent="0.25">
      <c r="A92" s="183"/>
      <c r="B92" s="898" t="s">
        <v>202</v>
      </c>
      <c r="C92" s="898"/>
      <c r="D92" s="898"/>
      <c r="E92" s="982"/>
      <c r="F92" s="895"/>
      <c r="G92" s="896"/>
      <c r="H92" s="3">
        <v>0</v>
      </c>
    </row>
    <row r="93" spans="1:8" x14ac:dyDescent="0.25">
      <c r="A93" s="183"/>
      <c r="B93" s="898" t="s">
        <v>202</v>
      </c>
      <c r="C93" s="898"/>
      <c r="D93" s="898"/>
      <c r="E93" s="982"/>
      <c r="F93" s="895"/>
      <c r="G93" s="896"/>
      <c r="H93" s="3">
        <v>0</v>
      </c>
    </row>
    <row r="94" spans="1:8" x14ac:dyDescent="0.25">
      <c r="A94" s="183"/>
      <c r="B94" s="909" t="s">
        <v>203</v>
      </c>
      <c r="C94" s="790"/>
      <c r="D94" s="790"/>
      <c r="E94" s="790"/>
      <c r="F94" s="790"/>
      <c r="G94" s="891"/>
      <c r="H94" s="62">
        <f>SUM(H82:H93)</f>
        <v>0</v>
      </c>
    </row>
    <row r="95" spans="1:8" x14ac:dyDescent="0.25">
      <c r="A95" s="983" t="s">
        <v>204</v>
      </c>
      <c r="B95" s="793"/>
      <c r="C95" s="793"/>
      <c r="D95" s="793"/>
      <c r="E95" s="793"/>
      <c r="F95" s="793"/>
      <c r="G95" s="793"/>
      <c r="H95" s="794"/>
    </row>
    <row r="96" spans="1:8" x14ac:dyDescent="0.25">
      <c r="A96" s="183"/>
      <c r="B96" s="898" t="s">
        <v>205</v>
      </c>
      <c r="C96" s="898"/>
      <c r="D96" s="898"/>
      <c r="E96" s="898"/>
      <c r="F96" s="898"/>
      <c r="G96" s="899"/>
      <c r="H96" s="9">
        <v>0</v>
      </c>
    </row>
    <row r="97" spans="1:8" x14ac:dyDescent="0.25">
      <c r="A97" s="183"/>
      <c r="B97" s="898" t="s">
        <v>206</v>
      </c>
      <c r="C97" s="898"/>
      <c r="D97" s="898"/>
      <c r="E97" s="898"/>
      <c r="F97" s="898"/>
      <c r="G97" s="899"/>
      <c r="H97" s="3">
        <v>0</v>
      </c>
    </row>
    <row r="98" spans="1:8" x14ac:dyDescent="0.25">
      <c r="A98" s="183"/>
      <c r="B98" s="898" t="s">
        <v>207</v>
      </c>
      <c r="C98" s="898"/>
      <c r="D98" s="898"/>
      <c r="E98" s="898"/>
      <c r="F98" s="898"/>
      <c r="G98" s="899"/>
      <c r="H98" s="3">
        <v>0</v>
      </c>
    </row>
    <row r="99" spans="1:8" x14ac:dyDescent="0.25">
      <c r="A99" s="183"/>
      <c r="B99" s="898" t="s">
        <v>208</v>
      </c>
      <c r="C99" s="898"/>
      <c r="D99" s="898"/>
      <c r="E99" s="898"/>
      <c r="F99" s="898"/>
      <c r="G99" s="899"/>
      <c r="H99" s="3">
        <v>0</v>
      </c>
    </row>
    <row r="100" spans="1:8" x14ac:dyDescent="0.25">
      <c r="A100" s="183"/>
      <c r="B100" s="898" t="s">
        <v>209</v>
      </c>
      <c r="C100" s="898"/>
      <c r="D100" s="898"/>
      <c r="E100" s="898"/>
      <c r="F100" s="898"/>
      <c r="G100" s="899"/>
      <c r="H100" s="3">
        <v>0</v>
      </c>
    </row>
    <row r="101" spans="1:8" x14ac:dyDescent="0.25">
      <c r="A101" s="183"/>
      <c r="B101" s="898" t="s">
        <v>695</v>
      </c>
      <c r="C101" s="898"/>
      <c r="D101" s="898"/>
      <c r="E101" s="898"/>
      <c r="F101" s="898"/>
      <c r="G101" s="899"/>
      <c r="H101" s="3">
        <v>0</v>
      </c>
    </row>
    <row r="102" spans="1:8" x14ac:dyDescent="0.25">
      <c r="A102" s="183"/>
      <c r="B102" s="898" t="s">
        <v>210</v>
      </c>
      <c r="C102" s="898"/>
      <c r="D102" s="895"/>
      <c r="E102" s="895"/>
      <c r="F102" s="895"/>
      <c r="G102" s="896"/>
      <c r="H102" s="3">
        <v>0</v>
      </c>
    </row>
    <row r="103" spans="1:8" x14ac:dyDescent="0.25">
      <c r="A103" s="183"/>
      <c r="B103" s="898" t="s">
        <v>210</v>
      </c>
      <c r="C103" s="898"/>
      <c r="D103" s="895"/>
      <c r="E103" s="895"/>
      <c r="F103" s="895"/>
      <c r="G103" s="896"/>
      <c r="H103" s="3">
        <v>0</v>
      </c>
    </row>
    <row r="104" spans="1:8" x14ac:dyDescent="0.25">
      <c r="A104" s="183"/>
      <c r="B104" s="909" t="s">
        <v>211</v>
      </c>
      <c r="C104" s="790"/>
      <c r="D104" s="790"/>
      <c r="E104" s="790"/>
      <c r="F104" s="790"/>
      <c r="G104" s="891"/>
      <c r="H104" s="62">
        <f>SUM(H96:H103)</f>
        <v>0</v>
      </c>
    </row>
    <row r="105" spans="1:8" x14ac:dyDescent="0.25">
      <c r="A105" s="183"/>
      <c r="B105" s="909" t="s">
        <v>212</v>
      </c>
      <c r="C105" s="790"/>
      <c r="D105" s="790"/>
      <c r="E105" s="790"/>
      <c r="F105" s="790"/>
      <c r="G105" s="891"/>
      <c r="H105" s="62">
        <f>H71+H80+H94+H104</f>
        <v>0</v>
      </c>
    </row>
    <row r="106" spans="1:8" x14ac:dyDescent="0.25">
      <c r="A106" s="983" t="s">
        <v>213</v>
      </c>
      <c r="B106" s="793"/>
      <c r="C106" s="793"/>
      <c r="D106" s="793"/>
      <c r="E106" s="793"/>
      <c r="F106" s="794"/>
      <c r="G106" s="63" t="s">
        <v>214</v>
      </c>
      <c r="H106" s="62"/>
    </row>
    <row r="107" spans="1:8" x14ac:dyDescent="0.25">
      <c r="A107" s="183"/>
      <c r="B107" s="902" t="s">
        <v>215</v>
      </c>
      <c r="C107" s="902"/>
      <c r="D107" s="902"/>
      <c r="E107" s="902"/>
      <c r="F107" s="922"/>
      <c r="G107" s="554">
        <v>0</v>
      </c>
      <c r="H107" s="4">
        <f ca="1">G107*'Operating Budget'!$E$48</f>
        <v>0</v>
      </c>
    </row>
    <row r="108" spans="1:8" x14ac:dyDescent="0.25">
      <c r="A108" s="183"/>
      <c r="B108" s="823" t="s">
        <v>241</v>
      </c>
      <c r="C108" s="823"/>
      <c r="D108" s="986"/>
      <c r="E108" s="986"/>
      <c r="F108" s="987"/>
      <c r="G108" s="555">
        <v>0</v>
      </c>
      <c r="H108" s="10">
        <v>0</v>
      </c>
    </row>
    <row r="109" spans="1:8" x14ac:dyDescent="0.25">
      <c r="A109" s="183"/>
      <c r="B109" s="823" t="s">
        <v>241</v>
      </c>
      <c r="C109" s="823"/>
      <c r="D109" s="986"/>
      <c r="E109" s="986"/>
      <c r="F109" s="987"/>
      <c r="G109" s="555">
        <v>0</v>
      </c>
      <c r="H109" s="10">
        <v>0</v>
      </c>
    </row>
    <row r="110" spans="1:8" x14ac:dyDescent="0.25">
      <c r="A110" s="183"/>
      <c r="B110" s="909" t="s">
        <v>216</v>
      </c>
      <c r="C110" s="790"/>
      <c r="D110" s="790"/>
      <c r="E110" s="790"/>
      <c r="F110" s="790"/>
      <c r="G110" s="891"/>
      <c r="H110" s="62">
        <f ca="1">SUM(H107:H109)</f>
        <v>0</v>
      </c>
    </row>
    <row r="111" spans="1:8" ht="9.9499999999999993" customHeight="1" thickBot="1" x14ac:dyDescent="0.3">
      <c r="A111" s="226"/>
      <c r="B111" s="227"/>
      <c r="C111" s="228"/>
      <c r="D111" s="228"/>
      <c r="E111" s="228"/>
      <c r="F111" s="228"/>
      <c r="G111" s="228"/>
      <c r="H111" s="32"/>
    </row>
    <row r="112" spans="1:8" ht="16.5" thickBot="1" x14ac:dyDescent="0.3">
      <c r="A112" s="984" t="s">
        <v>217</v>
      </c>
      <c r="B112" s="985"/>
      <c r="C112" s="985"/>
      <c r="D112" s="985"/>
      <c r="E112" s="985"/>
      <c r="F112" s="985"/>
      <c r="G112" s="985"/>
      <c r="H112" s="33">
        <f ca="1">H105+H110</f>
        <v>0</v>
      </c>
    </row>
    <row r="113" spans="1:8" ht="16.5" thickBot="1" x14ac:dyDescent="0.3">
      <c r="A113" s="984" t="s">
        <v>218</v>
      </c>
      <c r="B113" s="985"/>
      <c r="C113" s="985"/>
      <c r="D113" s="985"/>
      <c r="E113" s="985"/>
      <c r="F113" s="985"/>
      <c r="G113" s="985"/>
      <c r="H113" s="33">
        <f ca="1">IFERROR(H112/'Operating Budget'!$E$48,0)</f>
        <v>0</v>
      </c>
    </row>
    <row r="114" spans="1:8" x14ac:dyDescent="0.25">
      <c r="H114" s="6"/>
    </row>
    <row r="117" spans="1:8" x14ac:dyDescent="0.25">
      <c r="A117" s="229"/>
    </row>
    <row r="118" spans="1:8" x14ac:dyDescent="0.25">
      <c r="A118" s="229"/>
    </row>
  </sheetData>
  <sheetProtection algorithmName="SHA-512" hashValue="vovG/Cr9quMqOIJ/rRO+VVVuNYMk73SDJMUOMXYOk7iHGTDyReKa1k+1xozIwT5ZdyRQSwgUtQR6sdvG1PMrNg==" saltValue="wmi51AhKTRz+C48aABjLpw==" spinCount="100000" sheet="1" objects="1" scenarios="1"/>
  <mergeCells count="141">
    <mergeCell ref="C42:D42"/>
    <mergeCell ref="A57:G57"/>
    <mergeCell ref="B51:F51"/>
    <mergeCell ref="B53:F53"/>
    <mergeCell ref="B55:E55"/>
    <mergeCell ref="F55:G55"/>
    <mergeCell ref="B52:F52"/>
    <mergeCell ref="C9:D9"/>
    <mergeCell ref="C46:D46"/>
    <mergeCell ref="C45:D45"/>
    <mergeCell ref="C44:D44"/>
    <mergeCell ref="C29:D29"/>
    <mergeCell ref="A56:F56"/>
    <mergeCell ref="C17:D17"/>
    <mergeCell ref="C18:D18"/>
    <mergeCell ref="C19:D19"/>
    <mergeCell ref="C20:D20"/>
    <mergeCell ref="A2:B2"/>
    <mergeCell ref="C2:H2"/>
    <mergeCell ref="A3:B3"/>
    <mergeCell ref="C28:D28"/>
    <mergeCell ref="C11:D11"/>
    <mergeCell ref="C12:D12"/>
    <mergeCell ref="C13:D13"/>
    <mergeCell ref="C14:D14"/>
    <mergeCell ref="C15:D15"/>
    <mergeCell ref="C16:D16"/>
    <mergeCell ref="C23:D23"/>
    <mergeCell ref="C24:D24"/>
    <mergeCell ref="C25:D25"/>
    <mergeCell ref="C26:D26"/>
    <mergeCell ref="C27:D27"/>
    <mergeCell ref="C7:D7"/>
    <mergeCell ref="C6:D6"/>
    <mergeCell ref="C10:D10"/>
    <mergeCell ref="C8:D8"/>
    <mergeCell ref="C21:D21"/>
    <mergeCell ref="C22:D22"/>
    <mergeCell ref="B73:G73"/>
    <mergeCell ref="B65:F65"/>
    <mergeCell ref="B66:G66"/>
    <mergeCell ref="B67:G67"/>
    <mergeCell ref="B68:G68"/>
    <mergeCell ref="B69:D69"/>
    <mergeCell ref="E69:G69"/>
    <mergeCell ref="B64:G64"/>
    <mergeCell ref="A5:H5"/>
    <mergeCell ref="A50:F50"/>
    <mergeCell ref="A60:H60"/>
    <mergeCell ref="A61:G61"/>
    <mergeCell ref="B62:G62"/>
    <mergeCell ref="B63:G63"/>
    <mergeCell ref="C48:D48"/>
    <mergeCell ref="C43:D43"/>
    <mergeCell ref="C37:D37"/>
    <mergeCell ref="C36:D36"/>
    <mergeCell ref="C35:D35"/>
    <mergeCell ref="C34:D34"/>
    <mergeCell ref="C38:D38"/>
    <mergeCell ref="C39:D39"/>
    <mergeCell ref="C40:D40"/>
    <mergeCell ref="C41:D41"/>
    <mergeCell ref="B100:G100"/>
    <mergeCell ref="B102:C102"/>
    <mergeCell ref="D102:G102"/>
    <mergeCell ref="B103:C103"/>
    <mergeCell ref="D103:G103"/>
    <mergeCell ref="A95:H95"/>
    <mergeCell ref="B96:G96"/>
    <mergeCell ref="B88:G88"/>
    <mergeCell ref="B89:G89"/>
    <mergeCell ref="B90:C90"/>
    <mergeCell ref="D90:G90"/>
    <mergeCell ref="B91:C91"/>
    <mergeCell ref="D91:G91"/>
    <mergeCell ref="B101:G101"/>
    <mergeCell ref="B97:G97"/>
    <mergeCell ref="B98:G98"/>
    <mergeCell ref="B99:G99"/>
    <mergeCell ref="B93:D93"/>
    <mergeCell ref="E93:G93"/>
    <mergeCell ref="B94:G94"/>
    <mergeCell ref="B110:G110"/>
    <mergeCell ref="A112:G112"/>
    <mergeCell ref="A113:G113"/>
    <mergeCell ref="B104:G104"/>
    <mergeCell ref="B105:G105"/>
    <mergeCell ref="A106:F106"/>
    <mergeCell ref="B107:F107"/>
    <mergeCell ref="B108:C108"/>
    <mergeCell ref="D108:F108"/>
    <mergeCell ref="B109:C109"/>
    <mergeCell ref="D109:F109"/>
    <mergeCell ref="J53:L53"/>
    <mergeCell ref="M53:N53"/>
    <mergeCell ref="B92:D92"/>
    <mergeCell ref="E92:G92"/>
    <mergeCell ref="B83:G83"/>
    <mergeCell ref="B84:G84"/>
    <mergeCell ref="B85:G85"/>
    <mergeCell ref="B86:G86"/>
    <mergeCell ref="B87:G87"/>
    <mergeCell ref="B79:C79"/>
    <mergeCell ref="D79:G79"/>
    <mergeCell ref="B80:G80"/>
    <mergeCell ref="A81:H81"/>
    <mergeCell ref="B82:G82"/>
    <mergeCell ref="B74:G74"/>
    <mergeCell ref="B75:G75"/>
    <mergeCell ref="B76:G76"/>
    <mergeCell ref="B77:G77"/>
    <mergeCell ref="B78:C78"/>
    <mergeCell ref="D78:G78"/>
    <mergeCell ref="B70:D70"/>
    <mergeCell ref="E70:G70"/>
    <mergeCell ref="B71:G71"/>
    <mergeCell ref="A72:H72"/>
    <mergeCell ref="A1:H1"/>
    <mergeCell ref="K54:O54"/>
    <mergeCell ref="K41:O41"/>
    <mergeCell ref="M28:N28"/>
    <mergeCell ref="K27:L27"/>
    <mergeCell ref="M27:N27"/>
    <mergeCell ref="C3:E3"/>
    <mergeCell ref="K6:O6"/>
    <mergeCell ref="K18:O18"/>
    <mergeCell ref="K22:O22"/>
    <mergeCell ref="K29:O29"/>
    <mergeCell ref="K26:N26"/>
    <mergeCell ref="K47:O47"/>
    <mergeCell ref="C47:D47"/>
    <mergeCell ref="C30:D30"/>
    <mergeCell ref="C31:D31"/>
    <mergeCell ref="C32:D32"/>
    <mergeCell ref="C33:D33"/>
    <mergeCell ref="B54:F54"/>
    <mergeCell ref="J28:L28"/>
    <mergeCell ref="J40:L40"/>
    <mergeCell ref="M40:N40"/>
    <mergeCell ref="J46:L46"/>
    <mergeCell ref="M46:N46"/>
  </mergeCells>
  <conditionalFormatting sqref="G65">
    <cfRule type="cellIs" dxfId="17" priority="6" stopIfTrue="1" operator="lessThan">
      <formula>0.05</formula>
    </cfRule>
    <cfRule type="cellIs" dxfId="16" priority="7" stopIfTrue="1" operator="between">
      <formula>0.05</formula>
      <formula>0.08</formula>
    </cfRule>
    <cfRule type="cellIs" dxfId="15" priority="8" operator="greaterThan">
      <formula>0.08</formula>
    </cfRule>
  </conditionalFormatting>
  <dataValidations count="2">
    <dataValidation type="list" allowBlank="1" showInputMessage="1" showErrorMessage="1" sqref="F7:F47" xr:uid="{2E50D734-1333-4ABE-BC27-0D0A82C5560C}">
      <formula1>"Yes"</formula1>
    </dataValidation>
    <dataValidation type="list" allowBlank="1" showInputMessage="1" showErrorMessage="1" sqref="B7:B47" xr:uid="{8F9A5CDA-A74A-49F4-BD9D-A10D629A0528}">
      <formula1>$K$30:$O$30</formula1>
    </dataValidation>
  </dataValidations>
  <printOptions horizontalCentered="1"/>
  <pageMargins left="0.25" right="0.25" top="0.25" bottom="0.25" header="0.3" footer="0.3"/>
  <pageSetup scale="88" orientation="portrait" horizontalDpi="1200" r:id="rId1"/>
  <ignoredErrors>
    <ignoredError sqref="K11:O11 K13:O13" formula="1"/>
    <ignoredError sqref="G56" unlockedFormula="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76638B8-14A7-45D5-81EB-B141DA8F3D77}">
          <x14:formula1>
            <xm:f>'Project Summary'!$M$148:$M$150</xm:f>
          </x14:formula1>
          <xm:sqref>M40:N40 M46:N46 M53:N53 M28:N28</xm:sqref>
        </x14:dataValidation>
        <x14:dataValidation type="list" allowBlank="1" showInputMessage="1" showErrorMessage="1" xr:uid="{09D21F10-89C7-46E6-A764-E166B82D1C7B}">
          <x14:formula1>
            <xm:f>INDIRECT('Project Summary'!$AH$154)</xm:f>
          </x14:formula1>
          <xm:sqref>C7:D47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56</vt:i4>
      </vt:variant>
    </vt:vector>
  </HeadingPairs>
  <TitlesOfParts>
    <vt:vector size="74" baseType="lpstr">
      <vt:lpstr>Cover</vt:lpstr>
      <vt:lpstr>Project Summary</vt:lpstr>
      <vt:lpstr>Buildings Summary</vt:lpstr>
      <vt:lpstr>Tax Credit Calc</vt:lpstr>
      <vt:lpstr>Project SqFt</vt:lpstr>
      <vt:lpstr>Development Budget</vt:lpstr>
      <vt:lpstr>Funding Sources</vt:lpstr>
      <vt:lpstr>UA's &amp; PBV Standards</vt:lpstr>
      <vt:lpstr>Operating Budget</vt:lpstr>
      <vt:lpstr>30-yr Cash Flow Projection</vt:lpstr>
      <vt:lpstr>SLR &amp; HUD 2880</vt:lpstr>
      <vt:lpstr>LIHTC 10% Test</vt:lpstr>
      <vt:lpstr>Cost Allocations</vt:lpstr>
      <vt:lpstr>HTF Accomplishments</vt:lpstr>
      <vt:lpstr>HOME Accomplishments</vt:lpstr>
      <vt:lpstr>2024 Limits</vt:lpstr>
      <vt:lpstr>2025 Limits</vt:lpstr>
      <vt:lpstr>2026 Limits</vt:lpstr>
      <vt:lpstr>HIF_</vt:lpstr>
      <vt:lpstr>HIF_Rents</vt:lpstr>
      <vt:lpstr>HOME_</vt:lpstr>
      <vt:lpstr>HOME_HIF_</vt:lpstr>
      <vt:lpstr>HOME_HIF_Rents</vt:lpstr>
      <vt:lpstr>HOME_Rents</vt:lpstr>
      <vt:lpstr>HTF_</vt:lpstr>
      <vt:lpstr>HTF_HIF_</vt:lpstr>
      <vt:lpstr>HTF_HIF_Rents</vt:lpstr>
      <vt:lpstr>HTF_HOME_</vt:lpstr>
      <vt:lpstr>HTF_HOME_HIF_</vt:lpstr>
      <vt:lpstr>HTF_HOME_HIF_Rents</vt:lpstr>
      <vt:lpstr>HTF_HOME_Rents</vt:lpstr>
      <vt:lpstr>HTF_Rents</vt:lpstr>
      <vt:lpstr>LIHTC_</vt:lpstr>
      <vt:lpstr>LIHTC_HIF_</vt:lpstr>
      <vt:lpstr>LIHTC_HIF_Rents</vt:lpstr>
      <vt:lpstr>LIHTC_HOME_</vt:lpstr>
      <vt:lpstr>LIHTC_HOME_HIF_</vt:lpstr>
      <vt:lpstr>LIHTC_HOME_HIF_Rents</vt:lpstr>
      <vt:lpstr>LIHTC_HOME_Rents</vt:lpstr>
      <vt:lpstr>LIHTC_HTF_</vt:lpstr>
      <vt:lpstr>LIHTC_HTF_HIF_</vt:lpstr>
      <vt:lpstr>LIHTC_HTF_HIF_Rents</vt:lpstr>
      <vt:lpstr>LIHTC_HTF_HOME_</vt:lpstr>
      <vt:lpstr>LIHTC_HTF_HOME_HIF_</vt:lpstr>
      <vt:lpstr>LIHTC_HTF_HOME_HIF_Rents</vt:lpstr>
      <vt:lpstr>LIHTC_HTF_HOME_Rents</vt:lpstr>
      <vt:lpstr>LIHTC_HTF_Rents</vt:lpstr>
      <vt:lpstr>LIHTC_Rents</vt:lpstr>
      <vt:lpstr>'30-yr Cash Flow Projection'!Print_Area</vt:lpstr>
      <vt:lpstr>'Buildings Summary'!Print_Area</vt:lpstr>
      <vt:lpstr>'Cost Allocations'!Print_Area</vt:lpstr>
      <vt:lpstr>Cover!Print_Area</vt:lpstr>
      <vt:lpstr>'Development Budget'!Print_Area</vt:lpstr>
      <vt:lpstr>'Funding Sources'!Print_Area</vt:lpstr>
      <vt:lpstr>'HOME Accomplishments'!Print_Area</vt:lpstr>
      <vt:lpstr>'HTF Accomplishments'!Print_Area</vt:lpstr>
      <vt:lpstr>'LIHTC 10% Test'!Print_Area</vt:lpstr>
      <vt:lpstr>'Operating Budget'!Print_Area</vt:lpstr>
      <vt:lpstr>'Project SqFt'!Print_Area</vt:lpstr>
      <vt:lpstr>'Project Summary'!Print_Area</vt:lpstr>
      <vt:lpstr>'SLR &amp; HUD 2880'!Print_Area</vt:lpstr>
      <vt:lpstr>'Tax Credit Calc'!Print_Area</vt:lpstr>
      <vt:lpstr>'UA''s &amp; PBV Standards'!Print_Area</vt:lpstr>
      <vt:lpstr>'30-yr Cash Flow Projection'!Print_Titles</vt:lpstr>
      <vt:lpstr>'Buildings Summary'!Print_Titles</vt:lpstr>
      <vt:lpstr>'Cost Allocations'!Print_Titles</vt:lpstr>
      <vt:lpstr>'Development Budget'!Print_Titles</vt:lpstr>
      <vt:lpstr>'HOME Accomplishments'!Print_Titles</vt:lpstr>
      <vt:lpstr>'HTF Accomplishments'!Print_Titles</vt:lpstr>
      <vt:lpstr>'LIHTC 10% Test'!Print_Titles</vt:lpstr>
      <vt:lpstr>'Operating Budget'!Print_Titles</vt:lpstr>
      <vt:lpstr>'Project SqFt'!Print_Titles</vt:lpstr>
      <vt:lpstr>'Project Summary'!Print_Titles</vt:lpstr>
      <vt:lpstr>'SLR &amp; HUD 2880'!Print_Titles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Multifamily App Exhibit A</dc:title>
  <dc:creator>Fink, Joseph K.</dc:creator>
  <cp:keywords>LIHTC, HIF, HOME, HTF</cp:keywords>
  <cp:lastModifiedBy>Fink, Joseph K.</cp:lastModifiedBy>
  <cp:lastPrinted>2026-02-11T17:29:00Z</cp:lastPrinted>
  <dcterms:created xsi:type="dcterms:W3CDTF">2021-05-24T16:03:38Z</dcterms:created>
  <dcterms:modified xsi:type="dcterms:W3CDTF">2026-05-11T16:25:51Z</dcterms:modified>
  <cp:category>Application</cp:category>
</cp:coreProperties>
</file>